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Index to sheets" sheetId="1" r:id="rId1"/>
    <sheet name="MPSAS2NitsConvert" sheetId="2" r:id="rId2"/>
    <sheet name="Nits2MPSASConvert" sheetId="3" r:id="rId3"/>
    <sheet name="RefObjBrightnessAbbreviated" sheetId="4" r:id="rId4"/>
    <sheet name="ReferenceObjectCategBrightShort" sheetId="5" r:id="rId5"/>
    <sheet name="KnollSurfaceTableMPSAS" sheetId="6" r:id="rId6"/>
    <sheet name="ConvertFormula" sheetId="7" r:id="rId7"/>
    <sheet name="Simple mag nit converter" sheetId="8" r:id="rId8"/>
    <sheet name="Simple mag MPSAS convert" sheetId="9" r:id="rId9"/>
  </sheets>
  <definedNames/>
  <calcPr fullCalcOnLoad="1"/>
</workbook>
</file>

<file path=xl/sharedStrings.xml><?xml version="1.0" encoding="utf-8"?>
<sst xmlns="http://schemas.openxmlformats.org/spreadsheetml/2006/main" count="513" uniqueCount="351">
  <si>
    <t>2*log(3600)</t>
  </si>
  <si>
    <t>m_v-0.0376/2.5</t>
  </si>
  <si>
    <t>foot-lamberts</t>
  </si>
  <si>
    <t>lamberts</t>
  </si>
  <si>
    <t>millilamberts</t>
  </si>
  <si>
    <t>cd / cm^-2</t>
  </si>
  <si>
    <t>m_0 = 0.376 the V reference of Vega</t>
  </si>
  <si>
    <t>cd/ m^2</t>
  </si>
  <si>
    <t>f_v_cdpsm = the luminosity of the target object in candels per square meter ( cd/m^2)</t>
  </si>
  <si>
    <t xml:space="preserve">m_v_psq_arcsec </t>
  </si>
  <si>
    <t>10^x</t>
  </si>
  <si>
    <t>nit = 1 cd / m^2</t>
  </si>
  <si>
    <t>candela = 1 cd</t>
  </si>
  <si>
    <t>cdpsm = cd / meter^2</t>
  </si>
  <si>
    <t>0 mv = 0.0084 nit</t>
  </si>
  <si>
    <t>f_0_cdpsm (cd / m^2 or nit)</t>
  </si>
  <si>
    <t>m_0</t>
  </si>
  <si>
    <t>mv</t>
  </si>
  <si>
    <t>nano or micromillilamberts</t>
  </si>
  <si>
    <t>log nanolamberts</t>
  </si>
  <si>
    <t>Trolands</t>
  </si>
  <si>
    <t>foot-candles</t>
  </si>
  <si>
    <t>Nits</t>
  </si>
  <si>
    <t>nanolamberts</t>
  </si>
  <si>
    <t>cd / cm^2</t>
  </si>
  <si>
    <t>Examples</t>
  </si>
  <si>
    <t>Reference table - Object category and brightness - MPSAS, Ba, B and EV</t>
  </si>
  <si>
    <t>Source</t>
  </si>
  <si>
    <t xml:space="preserve">Covington, M. 2ed.  2002. Appendix C. In Astrophotography for the Amateur.  Cambridge. ISBN 0-521-62740-0 </t>
  </si>
  <si>
    <t>http://www.covingtoninnovations.com/</t>
  </si>
  <si>
    <t>Rogers, Mike. 2006. Implementation of Covington's Exposure Calculator. (Web applet)</t>
  </si>
  <si>
    <t>http://www.rphotoz.com/astrophoto/expcalcs.html</t>
  </si>
  <si>
    <t>Covington, M. 2005. Exposure Calculator.  (Freeware - software)</t>
  </si>
  <si>
    <t>http://www.covingtoninnovations.com/astro/astrosoft.html</t>
  </si>
  <si>
    <t>Starzonia. 2005. Exposure Calculator. (Web applet)</t>
  </si>
  <si>
    <t>http://www.starizona.com/ccd/calc_ideal.htm</t>
  </si>
  <si>
    <t>NASA/JPL Ephemeris Generator (Computes current apparent brightness of planets)</t>
  </si>
  <si>
    <t>http://ssd.jpl.nasa.gov/cgi-bin/eph</t>
  </si>
  <si>
    <t>ICQ/Harvard MPC Currently Observable Comets Database</t>
  </si>
  <si>
    <t>http://cfa-www.harvard.edu/iau/Ephemerides/Comets/index.html</t>
  </si>
  <si>
    <t>International Supernova Network SN Notices (SN Lightcurves)</t>
  </si>
  <si>
    <t>http://www.rochesterastronomy.org/supernova.html</t>
  </si>
  <si>
    <t>AAVSO: American Assoc. of Variable Star Observers (Variable Star Lightcurves)</t>
  </si>
  <si>
    <t>http://www.aavso.org/</t>
  </si>
  <si>
    <t xml:space="preserve">Berry, R &amp; Burnell, J. 2005. 2d. Handbook of Astronomical Processing. (HAIP) at p. 122.  Willman-Bell. </t>
  </si>
  <si>
    <t>http://www.willbell.com/</t>
  </si>
  <si>
    <t>Object category</t>
  </si>
  <si>
    <t>MPSAS (Ba)</t>
  </si>
  <si>
    <t>B</t>
  </si>
  <si>
    <t>Underexposure factor</t>
  </si>
  <si>
    <t>EV</t>
  </si>
  <si>
    <t>Moon thin crescent</t>
  </si>
  <si>
    <t>Covington2002</t>
  </si>
  <si>
    <t>HAIP2005</t>
  </si>
  <si>
    <t>Moon wide crescent</t>
  </si>
  <si>
    <t>Moon crescent</t>
  </si>
  <si>
    <t>Moon quarter phase terminator objects</t>
  </si>
  <si>
    <t>Moon quarter</t>
  </si>
  <si>
    <t>Moon gibbous</t>
  </si>
  <si>
    <t>Moon full</t>
  </si>
  <si>
    <t>Moon earthshine</t>
  </si>
  <si>
    <t>Moon partially eclipsed, expose bright side</t>
  </si>
  <si>
    <t>Moon partially eclipsed, expose umbra and penumbra</t>
  </si>
  <si>
    <t>Moon relatively light total eclipse</t>
  </si>
  <si>
    <t>Moon relatively dark total eclipse</t>
  </si>
  <si>
    <t>Comets (widely vary)</t>
  </si>
  <si>
    <t>Nebulae, bright (M42,M27,M57)</t>
  </si>
  <si>
    <t>Nebulae, M57 Ring Neb.</t>
  </si>
  <si>
    <t>Nebuale, NGC3587, Owl Neb.</t>
  </si>
  <si>
    <t>Nebulae, faint (California, Horsehead)</t>
  </si>
  <si>
    <t>Galaxies, bright cores</t>
  </si>
  <si>
    <t>Galaxies, nuclear bulge</t>
  </si>
  <si>
    <t>Galaxies, inner arms</t>
  </si>
  <si>
    <t>Galaxies, outer regions (underexpose)</t>
  </si>
  <si>
    <t>Galaxies, outer arms</t>
  </si>
  <si>
    <t>Galaxies, faint</t>
  </si>
  <si>
    <t>Sky daytime</t>
  </si>
  <si>
    <t>Sunset, 10 minutes after</t>
  </si>
  <si>
    <t>Parker2005; Croswell2005</t>
  </si>
  <si>
    <t>Sunset, 30 minutes after</t>
  </si>
  <si>
    <t>Author Estimate</t>
  </si>
  <si>
    <t>Civil twilight</t>
  </si>
  <si>
    <t>Author Estimate; Parker2005</t>
  </si>
  <si>
    <t xml:space="preserve">Night, away from city lights, subject under full moon. </t>
  </si>
  <si>
    <t>Parker2005</t>
  </si>
  <si>
    <t xml:space="preserve">Night, away from city lights, subject under crescent moon. </t>
  </si>
  <si>
    <t xml:space="preserve">Night, away from city lights, subject under half moon. Meteors (during showers, with time exposure). </t>
  </si>
  <si>
    <t xml:space="preserve">Night, away from city lights, subject under starlight only. </t>
  </si>
  <si>
    <t>Urban night sky</t>
  </si>
  <si>
    <t>Sky fog limit, typical city sky (NELM 4.5, Bortle Class 8)</t>
  </si>
  <si>
    <t>Sky fog limit, typical town sky (NELM 5.5, Bortle Class 6)</t>
  </si>
  <si>
    <t>Suburban night sky</t>
  </si>
  <si>
    <t>Rural night sky</t>
  </si>
  <si>
    <t>HAIP2005; Croswell2005</t>
  </si>
  <si>
    <t>Darkest sky</t>
  </si>
  <si>
    <t>Garstang1989</t>
  </si>
  <si>
    <t>Sun (full disk, unfiltered, causes blindness)**</t>
  </si>
  <si>
    <t>Covington2002; Parker2005</t>
  </si>
  <si>
    <t>Sun prominences,  no filter**</t>
  </si>
  <si>
    <t>Sun total eclipse - prominences and innermost corona, no filter**</t>
  </si>
  <si>
    <t>Sun inner corona, no filter**</t>
  </si>
  <si>
    <t>Sun middle corona, no filter**</t>
  </si>
  <si>
    <t>Sun total eclipse - prominences and inner corona, 3° TFOV, no filter**</t>
  </si>
  <si>
    <t>Sun (full disk or partial eclipse with OD 6 (1/10^6) filter)*</t>
  </si>
  <si>
    <t>Sun (full disk or partial eclipse with OD 5 (1/10^5) filter)*</t>
  </si>
  <si>
    <t>Sun (full disk or partial eclipse with OD 4(1/10^4) filter)*</t>
  </si>
  <si>
    <t>Mercury</t>
  </si>
  <si>
    <t>Venus</t>
  </si>
  <si>
    <t>Mars</t>
  </si>
  <si>
    <t>Jupiter</t>
  </si>
  <si>
    <t>Saturn</t>
  </si>
  <si>
    <t>Uranus</t>
  </si>
  <si>
    <t>Neptune</t>
  </si>
  <si>
    <t xml:space="preserve">Notes: </t>
  </si>
  <si>
    <t>* - equivalent MPSAS and Ba computed per this author</t>
  </si>
  <si>
    <t xml:space="preserve">** - Never view the Sun without O.D. 5 or 6 filter. Otherwise blindness will result. </t>
  </si>
  <si>
    <t xml:space="preserve">Sources: </t>
  </si>
  <si>
    <t xml:space="preserve">Parker, Fred. 2005.  The Ultimate Exposure Computer. (Webpage) </t>
  </si>
  <si>
    <t xml:space="preserve">http://www.fredparker.com/ultexp1.htm#evfclux </t>
  </si>
  <si>
    <t>Croswell, Ken. 2005. What are LV and EV?</t>
  </si>
  <si>
    <t>http://www.kenrockwell.com/tech/ev.htm</t>
  </si>
  <si>
    <t xml:space="preserve">Garstang, R. H. 1989. Night-sky brightness at observatories and sites. 1989PASP..101..306G </t>
  </si>
  <si>
    <t>http://adsabs.harvard.edu/cgi-bin/nph-bib_query?bibcode=1989PASP..101..306G</t>
  </si>
  <si>
    <t>Garstang, R. H. 1989. The status and prospects for ground-based observatory sites. 1989ARA&amp;A..27...19G</t>
  </si>
  <si>
    <t>http://adsabs.harvard.edu/cgi-bin/nph-bib_query?bibcode=1989ARA%26A..27...19G</t>
  </si>
  <si>
    <t xml:space="preserve"> </t>
  </si>
  <si>
    <t>Simple mag to nit converter</t>
  </si>
  <si>
    <t>Nits to mags</t>
  </si>
  <si>
    <t>Conversion factor</t>
  </si>
  <si>
    <t>Conversion Equation</t>
  </si>
  <si>
    <t>Mags</t>
  </si>
  <si>
    <t>-2.5*LOG(A8/B8) + 0</t>
  </si>
  <si>
    <t>Mags to nits</t>
  </si>
  <si>
    <t xml:space="preserve">b2 = b1 *  ( 10^ (deltaMag/-2.5) ) </t>
  </si>
  <si>
    <t>Relative brightness to magnitude converter</t>
  </si>
  <si>
    <t>Factor</t>
  </si>
  <si>
    <t>Equation</t>
  </si>
  <si>
    <t>Result</t>
  </si>
  <si>
    <t>Conversion factors</t>
  </si>
  <si>
    <t>0mv to nits no air</t>
  </si>
  <si>
    <t>0.84 * 10^-2</t>
  </si>
  <si>
    <t>0mv to nits 1 air unit</t>
  </si>
  <si>
    <t>0.69 * 10^-2</t>
  </si>
  <si>
    <t>Converting trolands to nits and nits and trolands</t>
  </si>
  <si>
    <t>Raynauld's light conversion calculator</t>
  </si>
  <si>
    <t>http://www.mapageweb.umontreal.ca/raynauld/lconverter.html</t>
  </si>
  <si>
    <t>Length conversions</t>
  </si>
  <si>
    <t>http://www.easysurf.cc/cnvert.htm</t>
  </si>
  <si>
    <t>I1</t>
  </si>
  <si>
    <t>I2</t>
  </si>
  <si>
    <t>-2.5*LOG(I2/I1) + zero point</t>
  </si>
  <si>
    <t>zp</t>
  </si>
  <si>
    <t>Daylight</t>
  </si>
  <si>
    <t>30 minutes after sunset</t>
  </si>
  <si>
    <t>MPSAS 16 Sky fog limit, typical city sky (NELM 4.5, Bortle Class 8)</t>
  </si>
  <si>
    <t>MPSAS 18 Sky fog limit, typical town sky (NELM 5.5, Bortle Class 6)</t>
  </si>
  <si>
    <t>mags</t>
  </si>
  <si>
    <t>Example</t>
  </si>
  <si>
    <t>Earthshine</t>
  </si>
  <si>
    <t>Moon quarter terminator objects</t>
  </si>
  <si>
    <t>Moon narrow crescent</t>
  </si>
  <si>
    <t>mags or MPSAS as applicable</t>
  </si>
  <si>
    <t>10 minutes after sunset</t>
  </si>
  <si>
    <t>1.6 mpsas daylight</t>
  </si>
  <si>
    <t>3.4 mpsas Full Moon; 3.9 sunset</t>
  </si>
  <si>
    <t>5.3 mpsas quarter Moon terminator objects</t>
  </si>
  <si>
    <t>9.2 mpsas 30 mins after sunset</t>
  </si>
  <si>
    <t>9.9 mpsas civil twilight</t>
  </si>
  <si>
    <t>16.1 mpsas mag 4.5 NELM Sky Bortle Class 8</t>
  </si>
  <si>
    <t>18 mpsas Sky fog limit, typical town sky (NELM 5.5, Bortle Class 6)</t>
  </si>
  <si>
    <t>21.98 mpsas darkest sky</t>
  </si>
  <si>
    <t>Russell's (1916) conversion standard candels per meter^2 to mags</t>
  </si>
  <si>
    <t>I1 B</t>
  </si>
  <si>
    <t>I2 B</t>
  </si>
  <si>
    <t>Worksheet</t>
  </si>
  <si>
    <t>Description</t>
  </si>
  <si>
    <t>CC = 1.58e-10;                  // NIGHT-VISION CONSTANT</t>
  </si>
  <si>
    <t>KK = 0.0126;            // NIGHT-VISION CONSTANT</t>
  </si>
  <si>
    <t>I=CC*Math.pow(1+Math.sqrt(KK*B),2);</t>
  </si>
  <si>
    <t>Less than 3.17</t>
  </si>
  <si>
    <t>CC</t>
  </si>
  <si>
    <t>B_nanoLamberts</t>
  </si>
  <si>
    <t>KK</t>
  </si>
  <si>
    <t>Z1</t>
  </si>
  <si>
    <t>Z2</t>
  </si>
  <si>
    <t>Z3</t>
  </si>
  <si>
    <t>I_footcandles</t>
  </si>
  <si>
    <t>M1 = -16.57-2.5*Math.log(I)/Math.log(10);</t>
  </si>
  <si>
    <t xml:space="preserve">M1 </t>
  </si>
  <si>
    <t>M1 = -16.8-2.5*Math.log(I)/Math.log(10);</t>
  </si>
  <si>
    <t>M2</t>
  </si>
  <si>
    <t>CClt317</t>
  </si>
  <si>
    <t>CCgt317</t>
  </si>
  <si>
    <t>KKlt317</t>
  </si>
  <si>
    <t>KKgt317</t>
  </si>
  <si>
    <t>Problem relevance</t>
  </si>
  <si>
    <t>nanoLamberts to luminance (MPSAS) sky brightness</t>
  </si>
  <si>
    <t>Luminance (nanoLamberts) to stellar magnitude illuminance</t>
  </si>
  <si>
    <t>Applies to</t>
  </si>
  <si>
    <t>Foot-lamberts to luminance (MPSAS) sky brightness</t>
  </si>
  <si>
    <t>Determining sky brightness</t>
  </si>
  <si>
    <t>Convert Blackwell surface to MPSAS system</t>
  </si>
  <si>
    <t>Blackwell (1946) 
Clark (2000)</t>
  </si>
  <si>
    <t>Clark (2000)
Cox [Allen] (2000)</t>
  </si>
  <si>
    <t>Leading papers</t>
  </si>
  <si>
    <t>mv-m0</t>
  </si>
  <si>
    <t>(mv-m0)/-2.5</t>
  </si>
  <si>
    <t xml:space="preserve">[ (m_v - 0.0376) / -2.5 ] + 2*log(3600) ] </t>
  </si>
  <si>
    <t xml:space="preserve">10^[ (m_v - 0.0376) / -2.5 ] + 2*log(3600) ] </t>
  </si>
  <si>
    <t xml:space="preserve">Cox-Allen (2000) at 21 </t>
  </si>
  <si>
    <t>From</t>
  </si>
  <si>
    <t>Derive</t>
  </si>
  <si>
    <t>Per Clark (1990) narrative to Clark Table 2.2 Notes this conflicts with the value shown in Table 2.1</t>
  </si>
  <si>
    <t>f_0 cdpsm = 0.0084 the cd / m^2 for a zero magnitude reference star Vega per square arcsec outside the atmosphere</t>
  </si>
  <si>
    <t>mv_mpsas = -2.5 * [(log(f_v_cdpsm (cd / m^2) / 0.0084)) - 2*log(3600) ]  + 0.0376</t>
  </si>
  <si>
    <t xml:space="preserve">f_v_cdpsm (cd / m^2) = 0.0084 * [ 10^[ (mv_mpsas - 0.0376) / -2.5 ] + 2*log(3600) ]  ] </t>
  </si>
  <si>
    <t xml:space="preserve">mv_mpsas - 0.0376 = -2.5 * [(log(f_v_cdpsm (cd / m^2) / 0.0084)) - 2*log(3600) ]  </t>
  </si>
  <si>
    <t xml:space="preserve">(mv_mpsas - 0.0376) / -2.5 = [(log(f_v_cdpsm (cd / m^2) / 0.0084)) - 2*log(3600) ]  </t>
  </si>
  <si>
    <t xml:space="preserve">[ (mv_mpsas - 0.0376) / -2.5 ] + 2*log(3600) ]  = [(log(f_v_cdpsm (cd / m^2) / 0.0084)) </t>
  </si>
  <si>
    <t>10^[ (mv_mpsas - 0.0376) / -2.5 ] + 2*log(3600) ]  = (f_v_cdpsm (cd / m^2) / 0.0084)</t>
  </si>
  <si>
    <t xml:space="preserve">0.0084 * [ 10^[ (mv_mpsas - 0.0376) / -2.5 ] + 2*log(3600) ]  ] = (f_v_cdpsm (cd / m^2) </t>
  </si>
  <si>
    <t>-2.5* [(log(f_v_cdpsm (cd / m^2) / 0.0084))</t>
  </si>
  <si>
    <t>mv_mpsas_0</t>
  </si>
  <si>
    <t>MPSAS2NitsConvert</t>
  </si>
  <si>
    <t>Nits2MPSASConvert</t>
  </si>
  <si>
    <t>Sky brightness luminance (MPSAS) to nanoLamberts and nits</t>
  </si>
  <si>
    <t>Conversion from magnitudes per square arc second (mpsas) to nits (cd / m^2) and stlib (cd / cm^2) and nanoLamberts</t>
  </si>
  <si>
    <t xml:space="preserve">Conversion from nits (cd / m^2) and stlib (cd / cm^2) and nanoLamberts to magnitudes per square arcseq (mpsas) </t>
  </si>
  <si>
    <t>Future desired worksheets</t>
  </si>
  <si>
    <t xml:space="preserve">Foot-lamberts used in Blackwell article to mpsas units used in Clark (2000) to render the Blackwell surface. </t>
  </si>
  <si>
    <t>RefObjBrightnessAbbreviated</t>
  </si>
  <si>
    <t>MPSAS to terrestial events</t>
  </si>
  <si>
    <t>Summary table that ties common events (sunset, light polluted urban skies and rural dark skies) to MPSAS and NELM units.</t>
  </si>
  <si>
    <t>Detail table, below</t>
  </si>
  <si>
    <t>ReferenceObjectCategBrightShort</t>
  </si>
  <si>
    <t>Book and internet sources</t>
  </si>
  <si>
    <t xml:space="preserve">Detail table that collects from various sources, the photographic and stellar magnitude of common events (sunset, light polluted urban skies and rural dark skies). </t>
  </si>
  <si>
    <t>Explicit statement of unit conversion method</t>
  </si>
  <si>
    <t>Clark (1990)
Cox [Allen] (2000)</t>
  </si>
  <si>
    <t>Weaver (1947) 
Schaefer (1990) 
Russell (1916)
Knoll (1946)</t>
  </si>
  <si>
    <t>Constants are:</t>
  </si>
  <si>
    <t>log(B)</t>
  </si>
  <si>
    <t>I. MPSAS to nits conversions</t>
  </si>
  <si>
    <t>A. Units and constants</t>
  </si>
  <si>
    <t>B. Nits (candelas / m^2) to MPSAS</t>
  </si>
  <si>
    <t>C. MPSAS to nits  (candelas / m^2)</t>
  </si>
  <si>
    <t xml:space="preserve">A. Basic Equation is Schaefer (1990) Eq. 1, modification of Weaver (1947), Eq.s 1 and 2 at p. 234 </t>
  </si>
  <si>
    <t>B. Constants</t>
  </si>
  <si>
    <t>C. Conversion from output of Knoll equation in foot-candles to stellar point-source magnitude scale</t>
  </si>
  <si>
    <t>D. Worked example</t>
  </si>
  <si>
    <t>ConvertFormula</t>
  </si>
  <si>
    <t>Convert MPSAS to other units and luminance (I) to stellar mags</t>
  </si>
  <si>
    <t xml:space="preserve">The Weaver-Knoll equation for finding the faintest magnitude star visible against a given sky brightness. </t>
  </si>
  <si>
    <t>Finding the faintest magnitude star visible in contrast sky brightness</t>
  </si>
  <si>
    <t>Log(muLamberts) from Weaver Fig. 1</t>
  </si>
  <si>
    <t>m per Weaver Table I</t>
  </si>
  <si>
    <t>nanoLamberts</t>
  </si>
  <si>
    <t>I (fc)</t>
  </si>
  <si>
    <t>m computed</t>
  </si>
  <si>
    <t>deltaWeaverm2Computedm</t>
  </si>
  <si>
    <t>Knoll-Weaver equation.  See also Hecht (JOSA,v37,p59,1947)</t>
  </si>
  <si>
    <t>KnollSurfaceTableMPSAS</t>
  </si>
  <si>
    <t>Simple mag nit converter</t>
  </si>
  <si>
    <t>Quick calculator for single values</t>
  </si>
  <si>
    <t>General computations</t>
  </si>
  <si>
    <t>Not applicable</t>
  </si>
  <si>
    <t xml:space="preserve">Quickly convert nits between mpsas and nits.  Perform relative magnitude changes based on incidence change. </t>
  </si>
  <si>
    <t>Simple mag MPSAS</t>
  </si>
  <si>
    <t>Convert NELM mags to MPSAS</t>
  </si>
  <si>
    <t>Contrast ratio of stellar object to sky brightness</t>
  </si>
  <si>
    <t>Converts between visual magnitude system and the MPSAS system.</t>
  </si>
  <si>
    <t>II. The Weaver-Knoll surface as implemented in Schaefer's limiting calculator</t>
  </si>
  <si>
    <t>http://web.telia.com/~u41105032/visual/Schaefer.htm</t>
  </si>
  <si>
    <t>Sky Quality Meter faq and chart</t>
  </si>
  <si>
    <t>http://unihedron.com/projects/darksky/faq.php</t>
  </si>
  <si>
    <t>Schaefer (1990) at Eq. 17</t>
  </si>
  <si>
    <t>K. Fisher webpage and calculator</t>
  </si>
  <si>
    <t>http://members.csolutions.net/fisherka/astronote/plan/tlmnelm/html/NELM2BCalc.html</t>
  </si>
  <si>
    <t>http://unihedron.com/projects/darksky/images/MPSASvsNELM.jpg</t>
  </si>
  <si>
    <t>http://members.csolutions.net/fisherka/astronote/plan/tlmnelm/LimitMagFields.htm</t>
  </si>
  <si>
    <t xml:space="preserve">For background on derivation of these formula, see generally: </t>
  </si>
  <si>
    <t>MPSAS</t>
  </si>
  <si>
    <t>Schaefer (1990)
Clark (1990) 
Orlof-Carlin (1998) webpage</t>
  </si>
  <si>
    <t>Nils Olaf Carlin webpage (1998)</t>
  </si>
  <si>
    <t>The principal use for this equation is to convert background skybrightness to stellar magnitudes</t>
  </si>
  <si>
    <t xml:space="preserve">after the sky brightness work of Garstang.  This is a distinct problem from the faintest star </t>
  </si>
  <si>
    <t>contrast threshold limit modeled by the Weaver-Knoll relationship.</t>
  </si>
  <si>
    <t>III. Mag visual to MPSAS conversion</t>
  </si>
  <si>
    <t xml:space="preserve">Converts stellar magnitudes in stellar visual system to MPSAS </t>
  </si>
  <si>
    <t>mags=7.93-5*log(10^(4.316-(Bmpsas/5))+1)</t>
  </si>
  <si>
    <t>B_mpsas = 21.58 - 5 log(10^(1.586-mags/5)-1)</t>
  </si>
  <si>
    <t xml:space="preserve">From Clark (1990), Appendix E at: </t>
  </si>
  <si>
    <t>http://www.clarkvision.com/visastro/appendix-e.html</t>
  </si>
  <si>
    <t>In incidence units</t>
  </si>
  <si>
    <t>In magnitude units</t>
  </si>
  <si>
    <t>log of C units</t>
  </si>
  <si>
    <t>C = 10^-0.4(M-Mo)</t>
  </si>
  <si>
    <t>C = (B'-Bo)/Bo</t>
  </si>
  <si>
    <t>B is object brightness in incidence units B=10^-0.4(M)</t>
  </si>
  <si>
    <t>Bo is surface brightness in incidence units Bo=10^-0.4(Mo)</t>
  </si>
  <si>
    <t>Mo is sky brightness in magnitudes in mpsas</t>
  </si>
  <si>
    <t>M is object brightness in mpsas</t>
  </si>
  <si>
    <t>log( C ) = -0.4*(M-Mo)</t>
  </si>
  <si>
    <t>Photopic vision lower range 1 cd/m^2 up to 10^6 cd/m^2</t>
  </si>
  <si>
    <t>Mesopic vision upper range 1cd/m^2 down to 10^-2 cd/m^2</t>
  </si>
  <si>
    <t>Beginning of scotopic vision range at 10^-2 cd/m^2, down to 10^-6 cd/m^2; 15.8 Urban night sky</t>
  </si>
  <si>
    <t>End of scotopic vision range at 10^-6 cd/m^2, up to 10^-2 cd/m^2.</t>
  </si>
  <si>
    <t>Photopic vision lower range 1 cd/m^2 up to 10^6 cd/m^2; mesopic vision upper range 1cd/m^2 down to 10^-2 cd/m^2</t>
  </si>
  <si>
    <t>Urban night sky; beginning of scotopic vision range at 10^-2 cd/m^2, down to 10^-6 cd/m^2; end of mesopic range</t>
  </si>
  <si>
    <t xml:space="preserve">The contrast index between two extended objects is regularly used in </t>
  </si>
  <si>
    <t xml:space="preserve">visual acuity studies.  A literature search did not reveal any generally </t>
  </si>
  <si>
    <t xml:space="preserve">accepted method for computing a contrast index between a point and an </t>
  </si>
  <si>
    <t xml:space="preserve">extended object. </t>
  </si>
  <si>
    <t xml:space="preserve">Pickering (Amateur Astronomer's Handbook) was of the opinion that since </t>
  </si>
  <si>
    <t xml:space="preserve">post objects have no extended size, other than for extreme magnification, </t>
  </si>
  <si>
    <t>there is no change in the apparent magnitude of a stellar point object,</t>
  </si>
  <si>
    <t xml:space="preserve"> down to the level where the seeing disk is magnified such that it becomes an extended object. </t>
  </si>
  <si>
    <t xml:space="preserve">Schaefer (1990) was of the same opinion.  "Normally,  the Fm factor [reduction in brightness for </t>
  </si>
  <si>
    <t xml:space="preserve">magnification] should only be applied to the background brightness because a point source </t>
  </si>
  <si>
    <t xml:space="preserve">will still appear as a point source.  However, if too high a magnification is used, then the </t>
  </si>
  <si>
    <t xml:space="preserve">star image can be blown up to where the sensitivity of the eye is like an extended source."  </t>
  </si>
  <si>
    <t xml:space="preserve">In such cases, Schaefer applies a correcting value and applies as a breakpoint - 150 power.  </t>
  </si>
  <si>
    <t>m_in_atmosphere</t>
  </si>
  <si>
    <t>Greater than 3.17</t>
  </si>
  <si>
    <t xml:space="preserve">Thus, in those cases, the brightness of the star reduces at M power and the </t>
  </si>
  <si>
    <t>background sky at M^2</t>
  </si>
  <si>
    <t>In order to compute a contrast index, the faintest visible star and the sky brightness need</t>
  </si>
  <si>
    <t xml:space="preserve">to be expressed in the same units - either luminous units (nanoLamberts, nits or mpsas) or </t>
  </si>
  <si>
    <t xml:space="preserve">illuminance units (stellar magnitudes).  </t>
  </si>
  <si>
    <t xml:space="preserve">The contrast index in the current context is simply the Schaefer TLM surface divided </t>
  </si>
  <si>
    <t xml:space="preserve">by Knoll-Weaver surface (sky brightness expressed as stellar magnitude).  </t>
  </si>
  <si>
    <t xml:space="preserve">The Knoll-Weaver surface was modified by Schaefer using the sky brightness </t>
  </si>
  <si>
    <t xml:space="preserve">research of Garstang (1990).  Using the Garstang-Schaefer variant, </t>
  </si>
  <si>
    <t xml:space="preserve">sky brightness in MPSAS is first converted to foot-candles with Schaefer (1990) Eq. 17 - </t>
  </si>
  <si>
    <t>I = 34.08 * Exp(20.7233 - (0.92104 * B))</t>
  </si>
  <si>
    <t xml:space="preserve">The result of this computation is then feed into the Knoll-Weaver equation. </t>
  </si>
  <si>
    <t xml:space="preserve">Differences between the original Knoll-Weaver equation and th Garstang-Schaefer variant are </t>
  </si>
  <si>
    <t xml:space="preserve">shown in chart "KnollWeaverSurfaceChartMPSA5". </t>
  </si>
  <si>
    <t xml:space="preserve">Background on these equations can be found in Schaefer (1990) and Garstang (1986) </t>
  </si>
  <si>
    <t xml:space="preserve">and in - </t>
  </si>
  <si>
    <t xml:space="preserve">Magnification is not considered in chart "KnollSurfaceTableMPSAS". </t>
  </si>
  <si>
    <t xml:space="preserve">A Clark contrast index ratio can be computed using a hypothetical limiting magnitude star. </t>
  </si>
  <si>
    <t>An example is plotted in chart "KnollWeaverSurfaceChartMPSA6".</t>
  </si>
  <si>
    <t>IV. Contrast ratio or index</t>
  </si>
  <si>
    <t>Inside atmosphere</t>
  </si>
  <si>
    <t xml:space="preserve">Outside atmosphere </t>
  </si>
  <si>
    <t>Conversion from foot-candles to stellar magnitude scale per Schaefer calculator instde atmosphere</t>
  </si>
  <si>
    <t>Conversion from foot-candles to stellar magnitude scale implemented here after Russell (1916) for outside atmosphere</t>
  </si>
  <si>
    <t xml:space="preserve">The foregoing uses the Garstrang-Schaefer variant for </t>
  </si>
  <si>
    <t xml:space="preserve">converting sky brightness in mpsas into </t>
  </si>
  <si>
    <t xml:space="preserve">the visual magnitude system.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</si>
</sst>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00"/>
    <numFmt numFmtId="167" formatCode="0.00000000E+00"/>
    <numFmt numFmtId="168" formatCode="0.000"/>
    <numFmt numFmtId="169" formatCode="0.0000"/>
    <numFmt numFmtId="170" formatCode="[$-409]dddd\,\ mmmm\ dd\,\ yyyy"/>
    <numFmt numFmtId="171" formatCode="[$-409]h:mm:ss\ AM/PM"/>
    <numFmt numFmtId="172" formatCode="h:mm:ss;@"/>
    <numFmt numFmtId="173" formatCode="[$-F400]h:mm:ss\ AM/PM"/>
    <numFmt numFmtId="174" formatCode="mm/dd/yyyy\ hh:mm:ss"/>
    <numFmt numFmtId="175" formatCode="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"/>
    <numFmt numFmtId="181" formatCode="mmmmm\-yy"/>
    <numFmt numFmtId="182" formatCode="#,##0.000"/>
    <numFmt numFmtId="183" formatCode="0.0%"/>
    <numFmt numFmtId="184" formatCode="0.000E+00"/>
    <numFmt numFmtId="185" formatCode="0.0E+00"/>
    <numFmt numFmtId="186" formatCode="0.000000"/>
    <numFmt numFmtId="187" formatCode="dd\-mmm\-yyyy"/>
    <numFmt numFmtId="188" formatCode="hh:mm:ss"/>
    <numFmt numFmtId="189" formatCode="&quot;£ &quot;#,##0;\-&quot;£ &quot;#,##0"/>
    <numFmt numFmtId="190" formatCode="&quot;£ &quot;#,##0;[Red]\-&quot;£ &quot;#,##0"/>
    <numFmt numFmtId="191" formatCode="&quot;£ &quot;#,##0.00;\-&quot;£ &quot;#,##0.00"/>
    <numFmt numFmtId="192" formatCode="&quot;£ &quot;#,##0.00;[Red]\-&quot;£ &quot;#,##0.00"/>
    <numFmt numFmtId="193" formatCode="_-&quot;£ &quot;* #,##0_-;\-&quot;£ &quot;* #,##0_-;_-&quot;£ &quot;* &quot;-&quot;_-;_-@_-"/>
    <numFmt numFmtId="194" formatCode="_-* #,##0_-;\-* #,##0_-;_-* &quot;-&quot;_-;_-@_-"/>
    <numFmt numFmtId="195" formatCode="_-&quot;£ &quot;* #,##0.00_-;\-&quot;£ &quot;* #,##0.00_-;_-&quot;£ &quot;* &quot;-&quot;??_-;_-@_-"/>
    <numFmt numFmtId="196" formatCode="_-* #,##0.00_-;\-* #,##0.00_-;_-* &quot;-&quot;??_-;_-@_-"/>
    <numFmt numFmtId="197" formatCode="0.000000000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9"/>
      <name val="Helv"/>
      <family val="0"/>
    </font>
    <font>
      <sz val="9"/>
      <color indexed="9"/>
      <name val="Geneva"/>
      <family val="0"/>
    </font>
    <font>
      <sz val="12"/>
      <color indexed="9"/>
      <name val="Helv"/>
      <family val="0"/>
    </font>
    <font>
      <u val="single"/>
      <sz val="9"/>
      <color indexed="12"/>
      <name val="Geneva"/>
      <family val="0"/>
    </font>
    <font>
      <sz val="8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 locked="0"/>
    </xf>
    <xf numFmtId="0" fontId="7" fillId="0" borderId="0">
      <alignment/>
      <protection locked="0"/>
    </xf>
    <xf numFmtId="0" fontId="6" fillId="0" borderId="0">
      <alignment/>
      <protection locked="0"/>
    </xf>
    <xf numFmtId="0" fontId="3" fillId="0" borderId="0" applyNumberForma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2" borderId="0" xfId="0" applyNumberFormat="1" applyFill="1" applyAlignment="1">
      <alignment horizontal="left"/>
    </xf>
    <xf numFmtId="164" fontId="0" fillId="2" borderId="0" xfId="0" applyNumberForma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2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164" fontId="4" fillId="0" borderId="0" xfId="28" applyNumberFormat="1" applyAlignment="1">
      <alignment horizontal="left"/>
    </xf>
    <xf numFmtId="0" fontId="4" fillId="0" borderId="0" xfId="28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/>
    </xf>
    <xf numFmtId="0" fontId="8" fillId="0" borderId="0" xfId="27" applyAlignment="1">
      <alignment/>
    </xf>
    <xf numFmtId="0" fontId="6" fillId="0" borderId="0" xfId="29">
      <alignment/>
      <protection/>
    </xf>
    <xf numFmtId="0" fontId="6" fillId="0" borderId="0" xfId="29" applyAlignment="1">
      <alignment wrapText="1"/>
      <protection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2" fontId="0" fillId="3" borderId="0" xfId="0" applyNumberFormat="1" applyFill="1" applyAlignment="1">
      <alignment horizontal="left"/>
    </xf>
    <xf numFmtId="0" fontId="0" fillId="4" borderId="0" xfId="0" applyNumberFormat="1" applyFill="1" applyAlignment="1">
      <alignment horizontal="left"/>
    </xf>
    <xf numFmtId="0" fontId="2" fillId="0" borderId="0" xfId="0" applyFont="1" applyAlignment="1" quotePrefix="1">
      <alignment horizontal="left"/>
    </xf>
    <xf numFmtId="0" fontId="0" fillId="3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0" fontId="4" fillId="0" borderId="0" xfId="26" applyAlignment="1">
      <alignment/>
    </xf>
    <xf numFmtId="11" fontId="0" fillId="0" borderId="0" xfId="0" applyNumberFormat="1" applyAlignment="1">
      <alignment horizontal="left"/>
    </xf>
  </cellXfs>
  <cellStyles count="17">
    <cellStyle name="Normal" xfId="0"/>
    <cellStyle name="Body" xfId="15"/>
    <cellStyle name="Comma" xfId="16"/>
    <cellStyle name="Comma [0]" xfId="17"/>
    <cellStyle name="Currency" xfId="18"/>
    <cellStyle name="Currency [0]" xfId="19"/>
    <cellStyle name="Default" xfId="20"/>
    <cellStyle name="Default SS" xfId="21"/>
    <cellStyle name="Default TB" xfId="22"/>
    <cellStyle name="Followed Hyperlink" xfId="23"/>
    <cellStyle name="Footer" xfId="24"/>
    <cellStyle name="Header" xfId="25"/>
    <cellStyle name="Hyperlink" xfId="26"/>
    <cellStyle name="Hyperlink_20080210 Apparent luminance kaf" xfId="27"/>
    <cellStyle name="Hyperlink_ObsSpdht" xfId="28"/>
    <cellStyle name="Normal_20080203 lookup table kaf mod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rphotoz.com/astrophoto/expcalcs.html" TargetMode="External" /><Relationship Id="rId2" Type="http://schemas.openxmlformats.org/officeDocument/2006/relationships/hyperlink" Target="http://www.covingtoninnovations.com/astro/astrosoft.html" TargetMode="External" /><Relationship Id="rId3" Type="http://schemas.openxmlformats.org/officeDocument/2006/relationships/hyperlink" Target="http://www.starizona.com/ccd/calc_ideal.htm" TargetMode="External" /><Relationship Id="rId4" Type="http://schemas.openxmlformats.org/officeDocument/2006/relationships/hyperlink" Target="http://www.covingtoninnovations.com/" TargetMode="External" /><Relationship Id="rId5" Type="http://schemas.openxmlformats.org/officeDocument/2006/relationships/hyperlink" Target="http://ssd.jpl.nasa.gov/cgi-bin/eph" TargetMode="External" /><Relationship Id="rId6" Type="http://schemas.openxmlformats.org/officeDocument/2006/relationships/hyperlink" Target="http://cfa-www.harvard.edu/iau/Ephemerides/Comets/index.html" TargetMode="External" /><Relationship Id="rId7" Type="http://schemas.openxmlformats.org/officeDocument/2006/relationships/hyperlink" Target="http://www.rochesterastronomy.org/supernova.html" TargetMode="External" /><Relationship Id="rId8" Type="http://schemas.openxmlformats.org/officeDocument/2006/relationships/hyperlink" Target="http://www.aavso.org/" TargetMode="External" /><Relationship Id="rId9" Type="http://schemas.openxmlformats.org/officeDocument/2006/relationships/hyperlink" Target="http://www.willbell.com/" TargetMode="External" /><Relationship Id="rId10" Type="http://schemas.openxmlformats.org/officeDocument/2006/relationships/hyperlink" Target="http://www.fredparker.com/ultexp1.htm#evfclux%20" TargetMode="External" /><Relationship Id="rId11" Type="http://schemas.openxmlformats.org/officeDocument/2006/relationships/hyperlink" Target="http://www.kenrockwell.com/tech/ev.htm" TargetMode="External" /><Relationship Id="rId12" Type="http://schemas.openxmlformats.org/officeDocument/2006/relationships/hyperlink" Target="http://adsabs.harvard.edu/cgi-bin/nph-bib_query?bibcode=1989PASP..101..306G" TargetMode="External" /><Relationship Id="rId13" Type="http://schemas.openxmlformats.org/officeDocument/2006/relationships/hyperlink" Target="http://adsabs.harvard.edu/cgi-bin/nph-bib_query?bibcode=1989ARA%26A..27...19G" TargetMode="External" /><Relationship Id="rId14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eb.telia.com/~u41105032/visual/Schaefer.htm" TargetMode="External" /><Relationship Id="rId2" Type="http://schemas.openxmlformats.org/officeDocument/2006/relationships/hyperlink" Target="http://unihedron.com/projects/darksky/faq.php" TargetMode="External" /><Relationship Id="rId3" Type="http://schemas.openxmlformats.org/officeDocument/2006/relationships/hyperlink" Target="http://unihedron.com/projects/darksky/images/MPSASvsNELM.jpg" TargetMode="External" /><Relationship Id="rId4" Type="http://schemas.openxmlformats.org/officeDocument/2006/relationships/hyperlink" Target="http://members.csolutions.net/fisherka/astronote/plan/tlmnelm/LimitMagFields.htm" TargetMode="External" /><Relationship Id="rId5" Type="http://schemas.openxmlformats.org/officeDocument/2006/relationships/hyperlink" Target="http://members.csolutions.net/fisherka/astronote/plan/tlmnelm/html/NELM2BCalc.html" TargetMode="External" /><Relationship Id="rId6" Type="http://schemas.openxmlformats.org/officeDocument/2006/relationships/hyperlink" Target="http://www.clarkvision.com/visastro/appendix-e.html" TargetMode="External" /><Relationship Id="rId7" Type="http://schemas.openxmlformats.org/officeDocument/2006/relationships/hyperlink" Target="http://web.telia.com/~u41105032/visual/Schaefer.htm" TargetMode="External" /><Relationship Id="rId8" Type="http://schemas.openxmlformats.org/officeDocument/2006/relationships/hyperlink" Target="http://unihedron.com/projects/darksky/faq.php" TargetMode="External" /><Relationship Id="rId9" Type="http://schemas.openxmlformats.org/officeDocument/2006/relationships/hyperlink" Target="http://unihedron.com/projects/darksky/images/MPSASvsNELM.jpg" TargetMode="External" /><Relationship Id="rId10" Type="http://schemas.openxmlformats.org/officeDocument/2006/relationships/hyperlink" Target="http://members.csolutions.net/fisherka/astronote/plan/tlmnelm/LimitMagFields.htm" TargetMode="External" /><Relationship Id="rId11" Type="http://schemas.openxmlformats.org/officeDocument/2006/relationships/hyperlink" Target="http://members.csolutions.net/fisherka/astronote/plan/tlmnelm/html/NELM2BCalc.html" TargetMode="External" /><Relationship Id="rId1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mapageweb.umontreal.ca/raynauld/lconverter.html" TargetMode="External" /><Relationship Id="rId2" Type="http://schemas.openxmlformats.org/officeDocument/2006/relationships/hyperlink" Target="http://www.easysurf.cc/cnvert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00390625" style="26" customWidth="1"/>
    <col min="2" max="2" width="22.00390625" style="27" customWidth="1"/>
    <col min="3" max="3" width="35.28125" style="27" customWidth="1"/>
    <col min="4" max="4" width="15.7109375" style="26" customWidth="1"/>
    <col min="5" max="5" width="17.00390625" style="26" customWidth="1"/>
    <col min="6" max="16384" width="9.140625" style="26" customWidth="1"/>
  </cols>
  <sheetData>
    <row r="1" spans="1:5" ht="12.75">
      <c r="A1" s="28" t="s">
        <v>174</v>
      </c>
      <c r="B1" s="31" t="s">
        <v>195</v>
      </c>
      <c r="C1" s="29" t="s">
        <v>175</v>
      </c>
      <c r="D1" s="31" t="s">
        <v>198</v>
      </c>
      <c r="E1" s="31" t="s">
        <v>204</v>
      </c>
    </row>
    <row r="2" spans="1:5" ht="38.25">
      <c r="A2" s="32" t="s">
        <v>223</v>
      </c>
      <c r="B2" s="32" t="s">
        <v>225</v>
      </c>
      <c r="C2" s="32" t="s">
        <v>226</v>
      </c>
      <c r="D2" s="32" t="s">
        <v>200</v>
      </c>
      <c r="E2" s="32" t="s">
        <v>203</v>
      </c>
    </row>
    <row r="3" spans="1:5" ht="38.25">
      <c r="A3" s="32" t="s">
        <v>224</v>
      </c>
      <c r="B3" s="32" t="s">
        <v>196</v>
      </c>
      <c r="C3" s="32" t="s">
        <v>227</v>
      </c>
      <c r="D3" s="32" t="s">
        <v>200</v>
      </c>
      <c r="E3" s="32" t="s">
        <v>238</v>
      </c>
    </row>
    <row r="4" spans="1:5" ht="51">
      <c r="A4" s="32" t="s">
        <v>230</v>
      </c>
      <c r="B4" s="32" t="s">
        <v>231</v>
      </c>
      <c r="C4" s="32" t="s">
        <v>232</v>
      </c>
      <c r="D4" s="32" t="s">
        <v>200</v>
      </c>
      <c r="E4" s="32" t="s">
        <v>233</v>
      </c>
    </row>
    <row r="5" spans="1:5" ht="63.75">
      <c r="A5" s="32" t="s">
        <v>234</v>
      </c>
      <c r="B5" s="32" t="s">
        <v>231</v>
      </c>
      <c r="C5" s="32" t="s">
        <v>236</v>
      </c>
      <c r="D5" s="32" t="s">
        <v>200</v>
      </c>
      <c r="E5" s="32" t="s">
        <v>235</v>
      </c>
    </row>
    <row r="6" spans="1:5" ht="63.75">
      <c r="A6" s="32" t="s">
        <v>261</v>
      </c>
      <c r="B6" s="32" t="s">
        <v>197</v>
      </c>
      <c r="C6" s="32" t="s">
        <v>252</v>
      </c>
      <c r="D6" s="32" t="s">
        <v>253</v>
      </c>
      <c r="E6" s="32" t="s">
        <v>239</v>
      </c>
    </row>
    <row r="7" spans="1:5" ht="38.25">
      <c r="A7" s="32" t="s">
        <v>250</v>
      </c>
      <c r="B7" s="32" t="s">
        <v>251</v>
      </c>
      <c r="C7" s="32" t="s">
        <v>237</v>
      </c>
      <c r="D7" s="32" t="s">
        <v>200</v>
      </c>
      <c r="E7" s="32" t="s">
        <v>238</v>
      </c>
    </row>
    <row r="8" spans="1:5" ht="38.25">
      <c r="A8" s="32" t="s">
        <v>262</v>
      </c>
      <c r="B8" s="32" t="s">
        <v>263</v>
      </c>
      <c r="C8" s="32" t="s">
        <v>266</v>
      </c>
      <c r="D8" s="32" t="s">
        <v>264</v>
      </c>
      <c r="E8" s="32" t="s">
        <v>265</v>
      </c>
    </row>
    <row r="9" spans="1:5" ht="51">
      <c r="A9" s="32" t="s">
        <v>267</v>
      </c>
      <c r="B9" s="32" t="s">
        <v>268</v>
      </c>
      <c r="C9" s="32" t="s">
        <v>270</v>
      </c>
      <c r="D9" s="32" t="s">
        <v>269</v>
      </c>
      <c r="E9" s="32" t="s">
        <v>282</v>
      </c>
    </row>
    <row r="10" spans="1:5" ht="12.75">
      <c r="A10" s="32"/>
      <c r="B10" s="32"/>
      <c r="C10" s="32"/>
      <c r="D10" s="32"/>
      <c r="E10" s="32"/>
    </row>
    <row r="11" spans="1:4" ht="12.75">
      <c r="A11" s="28" t="s">
        <v>228</v>
      </c>
      <c r="B11" s="32"/>
      <c r="C11" s="32"/>
      <c r="D11" s="32"/>
    </row>
    <row r="12" spans="1:5" ht="38.25">
      <c r="A12" s="32"/>
      <c r="B12" s="32" t="s">
        <v>199</v>
      </c>
      <c r="C12" s="32" t="s">
        <v>229</v>
      </c>
      <c r="D12" s="32" t="s">
        <v>201</v>
      </c>
      <c r="E12" s="32" t="s">
        <v>202</v>
      </c>
    </row>
    <row r="13" spans="1:4" ht="12.75">
      <c r="A13" s="32"/>
      <c r="B13" s="32"/>
      <c r="C13" s="32"/>
      <c r="D13" s="32"/>
    </row>
    <row r="14" spans="1:4" ht="12.75">
      <c r="A14" s="32"/>
      <c r="B14" s="32"/>
      <c r="C14" s="32"/>
      <c r="D14" s="32"/>
    </row>
    <row r="15" spans="1:4" ht="12.75">
      <c r="A15" s="32"/>
      <c r="B15" s="32"/>
      <c r="C15" s="32"/>
      <c r="D15" s="32"/>
    </row>
    <row r="16" spans="1:4" ht="12.75">
      <c r="A16" s="32"/>
      <c r="B16" s="32"/>
      <c r="C16" s="32"/>
      <c r="D16" s="32"/>
    </row>
    <row r="17" spans="1:4" ht="12.75">
      <c r="A17" s="32"/>
      <c r="B17" s="32"/>
      <c r="C17" s="32"/>
      <c r="D17" s="32"/>
    </row>
    <row r="18" spans="1:4" ht="12.75">
      <c r="A18" s="32"/>
      <c r="B18" s="32"/>
      <c r="C18" s="32"/>
      <c r="D18" s="32"/>
    </row>
    <row r="19" spans="1:4" ht="12.75">
      <c r="A19" s="32"/>
      <c r="B19" s="32"/>
      <c r="C19" s="32"/>
      <c r="D19" s="32"/>
    </row>
    <row r="20" spans="1:4" ht="12.75">
      <c r="A20" s="32"/>
      <c r="B20" s="32"/>
      <c r="C20" s="32"/>
      <c r="D20" s="32"/>
    </row>
    <row r="21" spans="1:4" ht="12.75">
      <c r="A21" s="32"/>
      <c r="B21" s="32"/>
      <c r="C21" s="32"/>
      <c r="D21" s="32"/>
    </row>
    <row r="22" spans="1:4" ht="12.75">
      <c r="A22" s="32"/>
      <c r="B22" s="32"/>
      <c r="C22" s="32"/>
      <c r="D22" s="32"/>
    </row>
    <row r="23" spans="1:4" ht="12.75">
      <c r="A23" s="32"/>
      <c r="B23" s="32"/>
      <c r="C23" s="32"/>
      <c r="D23" s="32"/>
    </row>
    <row r="24" spans="1:4" ht="12.75">
      <c r="A24" s="32"/>
      <c r="B24" s="32"/>
      <c r="C24" s="32"/>
      <c r="D24" s="32"/>
    </row>
    <row r="25" spans="1:4" ht="12.75">
      <c r="A25" s="32"/>
      <c r="B25" s="32"/>
      <c r="C25" s="32"/>
      <c r="D25" s="32"/>
    </row>
    <row r="26" spans="1:4" ht="12.75">
      <c r="A26" s="32"/>
      <c r="B26" s="32"/>
      <c r="C26" s="32"/>
      <c r="D26" s="3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33"/>
  <sheetViews>
    <sheetView workbookViewId="0" topLeftCell="A1">
      <selection activeCell="A1" sqref="A1"/>
    </sheetView>
  </sheetViews>
  <sheetFormatPr defaultColWidth="9.140625" defaultRowHeight="12.75"/>
  <cols>
    <col min="1" max="1" width="11.28125" style="6" customWidth="1"/>
    <col min="2" max="2" width="0" style="6" hidden="1" customWidth="1"/>
    <col min="3" max="3" width="12.421875" style="6" hidden="1" customWidth="1"/>
    <col min="4" max="4" width="0" style="6" hidden="1" customWidth="1"/>
    <col min="5" max="5" width="12.421875" style="6" hidden="1" customWidth="1"/>
    <col min="6" max="6" width="17.00390625" style="9" customWidth="1"/>
    <col min="7" max="7" width="12.00390625" style="6" bestFit="1" customWidth="1"/>
    <col min="8" max="8" width="10.57421875" style="9" bestFit="1" customWidth="1"/>
    <col min="9" max="9" width="12.57421875" style="9" bestFit="1" customWidth="1"/>
    <col min="10" max="10" width="12.57421875" style="9" customWidth="1"/>
    <col min="11" max="11" width="9.140625" style="8" customWidth="1"/>
    <col min="13" max="13" width="10.57421875" style="9" hidden="1" customWidth="1"/>
    <col min="16" max="16" width="11.421875" style="0" customWidth="1"/>
    <col min="18" max="18" width="10.00390625" style="0" bestFit="1" customWidth="1"/>
    <col min="20" max="20" width="14.140625" style="0" customWidth="1"/>
    <col min="21" max="21" width="15.421875" style="0" customWidth="1"/>
    <col min="22" max="22" width="15.421875" style="2" customWidth="1"/>
  </cols>
  <sheetData>
    <row r="1" spans="1:25" ht="12.75">
      <c r="A1" s="12" t="s">
        <v>9</v>
      </c>
      <c r="B1" s="12" t="s">
        <v>15</v>
      </c>
      <c r="C1" s="12" t="s">
        <v>0</v>
      </c>
      <c r="D1" s="12" t="s">
        <v>1</v>
      </c>
      <c r="E1" s="12" t="s">
        <v>10</v>
      </c>
      <c r="F1" s="13" t="s">
        <v>7</v>
      </c>
      <c r="G1" s="13" t="s">
        <v>5</v>
      </c>
      <c r="H1" s="13" t="s">
        <v>3</v>
      </c>
      <c r="I1" s="13" t="s">
        <v>4</v>
      </c>
      <c r="J1" s="13" t="s">
        <v>18</v>
      </c>
      <c r="K1" s="14" t="s">
        <v>19</v>
      </c>
      <c r="L1" s="13" t="s">
        <v>20</v>
      </c>
      <c r="M1" s="13" t="s">
        <v>2</v>
      </c>
      <c r="N1" s="13" t="s">
        <v>25</v>
      </c>
      <c r="O1" s="13"/>
      <c r="Q1" s="13" t="s">
        <v>22</v>
      </c>
      <c r="R1" s="13" t="s">
        <v>24</v>
      </c>
      <c r="S1" s="4" t="s">
        <v>3</v>
      </c>
      <c r="T1" s="4" t="s">
        <v>4</v>
      </c>
      <c r="U1" s="4" t="s">
        <v>23</v>
      </c>
      <c r="V1" s="22" t="s">
        <v>19</v>
      </c>
      <c r="W1" s="4" t="s">
        <v>21</v>
      </c>
      <c r="X1" s="4" t="s">
        <v>2</v>
      </c>
      <c r="Y1" s="4" t="s">
        <v>20</v>
      </c>
    </row>
    <row r="2" spans="1:25" ht="12.75">
      <c r="A2" s="37">
        <v>0</v>
      </c>
      <c r="B2" s="6">
        <f aca="true" t="shared" si="0" ref="B2:B7">0.84*10^-2</f>
        <v>0.0084</v>
      </c>
      <c r="C2" s="6">
        <f aca="true" t="shared" si="1" ref="C2:C7">2*LOG(3600)</f>
        <v>7.1126050015345745</v>
      </c>
      <c r="D2" s="6">
        <f aca="true" t="shared" si="2" ref="D2:D33">+(A2-0.0376)/2.5</f>
        <v>-0.015040000000000001</v>
      </c>
      <c r="E2" s="6">
        <f aca="true" t="shared" si="3" ref="E2:E7">10^(C2-D2)</f>
        <v>13416678.144982751</v>
      </c>
      <c r="F2" s="9">
        <f aca="true" t="shared" si="4" ref="F2:F7">+E2*B2</f>
        <v>112700.09641785511</v>
      </c>
      <c r="G2" s="6">
        <f>+F2*10^-4</f>
        <v>11.270009641785512</v>
      </c>
      <c r="H2" s="9">
        <f>+G2/PI()</f>
        <v>3.58735548636697</v>
      </c>
      <c r="I2" s="9">
        <f>H2*10^3</f>
        <v>3587.3554863669697</v>
      </c>
      <c r="J2" s="9">
        <f>H2*10^9</f>
        <v>3587355486.36697</v>
      </c>
      <c r="K2" s="8">
        <f>LOG(J2)</f>
        <v>9.554774414902324</v>
      </c>
      <c r="L2">
        <f>+F2*PI()</f>
        <v>354057.79496519495</v>
      </c>
      <c r="M2" s="9">
        <f>H2*1.076*10^-3</f>
        <v>0.00385999450333086</v>
      </c>
      <c r="Q2" s="6">
        <v>112700.09641785511</v>
      </c>
      <c r="R2" s="6">
        <f>$Q$2*10^-4</f>
        <v>11.270009641785512</v>
      </c>
      <c r="S2" s="6">
        <f>$Q$2*10^-4/PI()</f>
        <v>3.58735548636697</v>
      </c>
      <c r="T2" s="6">
        <f>$Q$2*10^-4/PI()*10^3</f>
        <v>3587.3554863669697</v>
      </c>
      <c r="U2" s="6">
        <f>$Q$2*10^-4/PI()*10^9</f>
        <v>3587355486.36697</v>
      </c>
      <c r="V2" s="5">
        <f>LOG($Q$2*10^-4/PI()*10^9)</f>
        <v>9.554774414902324</v>
      </c>
      <c r="W2" s="6">
        <v>0.291863507960158</v>
      </c>
      <c r="X2" s="6">
        <f>$Q$2*1.076*10^-3/PI()*10^-4</f>
        <v>0.0038599945033308603</v>
      </c>
      <c r="Y2" s="6">
        <f>$Q$2*PI()</f>
        <v>354057.79496519495</v>
      </c>
    </row>
    <row r="3" spans="1:14" ht="12.75">
      <c r="A3" s="6">
        <f>+A2+1</f>
        <v>1</v>
      </c>
      <c r="B3" s="6">
        <f t="shared" si="0"/>
        <v>0.0084</v>
      </c>
      <c r="C3" s="6">
        <f t="shared" si="1"/>
        <v>7.1126050015345745</v>
      </c>
      <c r="D3" s="6">
        <f t="shared" si="2"/>
        <v>0.38496</v>
      </c>
      <c r="E3" s="6">
        <f t="shared" si="3"/>
        <v>5341275.77452602</v>
      </c>
      <c r="F3" s="9">
        <f t="shared" si="4"/>
        <v>44866.716506018565</v>
      </c>
      <c r="G3" s="6">
        <f aca="true" t="shared" si="5" ref="G3:G33">+F3*10^-4</f>
        <v>4.486671650601857</v>
      </c>
      <c r="H3" s="9">
        <f aca="true" t="shared" si="6" ref="H3:H33">+G3/PI()</f>
        <v>1.4281519424471174</v>
      </c>
      <c r="I3" s="9">
        <f aca="true" t="shared" si="7" ref="I3:I33">H3*10^4</f>
        <v>14281.519424471175</v>
      </c>
      <c r="J3" s="9">
        <f aca="true" t="shared" si="8" ref="J3:J33">H3*10^9</f>
        <v>1428151942.4471173</v>
      </c>
      <c r="K3" s="8">
        <f aca="true" t="shared" si="9" ref="K3:K33">LOG(J3)</f>
        <v>9.154774414902322</v>
      </c>
      <c r="L3">
        <f aca="true" t="shared" si="10" ref="L3:L33">+F3*PI()</f>
        <v>140952.94696600383</v>
      </c>
      <c r="M3" s="9">
        <f aca="true" t="shared" si="11" ref="M3:M33">H3*1.076*10^-3</f>
        <v>0.0015366914900730984</v>
      </c>
      <c r="N3" t="s">
        <v>163</v>
      </c>
    </row>
    <row r="4" spans="1:13" ht="12.75">
      <c r="A4" s="6">
        <f>+A3+1</f>
        <v>2</v>
      </c>
      <c r="B4" s="6">
        <f t="shared" si="0"/>
        <v>0.0084</v>
      </c>
      <c r="C4" s="6">
        <f t="shared" si="1"/>
        <v>7.1126050015345745</v>
      </c>
      <c r="D4" s="6">
        <f t="shared" si="2"/>
        <v>0.78496</v>
      </c>
      <c r="E4" s="6">
        <f t="shared" si="3"/>
        <v>2126400.1857424937</v>
      </c>
      <c r="F4" s="9">
        <f t="shared" si="4"/>
        <v>17861.761560236948</v>
      </c>
      <c r="G4" s="6">
        <f t="shared" si="5"/>
        <v>1.7861761560236948</v>
      </c>
      <c r="H4" s="9">
        <f t="shared" si="6"/>
        <v>0.5685575289281031</v>
      </c>
      <c r="I4" s="9">
        <f t="shared" si="7"/>
        <v>5685.575289281031</v>
      </c>
      <c r="J4" s="9">
        <f t="shared" si="8"/>
        <v>568557528.9281031</v>
      </c>
      <c r="K4" s="8">
        <f t="shared" si="9"/>
        <v>8.754774414902323</v>
      </c>
      <c r="L4">
        <f t="shared" si="10"/>
        <v>56114.37889781296</v>
      </c>
      <c r="M4" s="9">
        <f t="shared" si="11"/>
        <v>0.000611767901126639</v>
      </c>
    </row>
    <row r="5" spans="1:14" ht="12.75">
      <c r="A5" s="6">
        <f aca="true" t="shared" si="12" ref="A5:A33">+A4+1</f>
        <v>3</v>
      </c>
      <c r="B5" s="6">
        <f t="shared" si="0"/>
        <v>0.0084</v>
      </c>
      <c r="C5" s="6">
        <f t="shared" si="1"/>
        <v>7.1126050015345745</v>
      </c>
      <c r="D5" s="6">
        <f t="shared" si="2"/>
        <v>1.18496</v>
      </c>
      <c r="E5" s="6">
        <f t="shared" si="3"/>
        <v>846535.1614103754</v>
      </c>
      <c r="F5" s="9">
        <f t="shared" si="4"/>
        <v>7110.895355847153</v>
      </c>
      <c r="G5" s="6">
        <f t="shared" si="5"/>
        <v>0.7110895355847153</v>
      </c>
      <c r="H5" s="9">
        <f t="shared" si="6"/>
        <v>0.2263468291384553</v>
      </c>
      <c r="I5" s="9">
        <f t="shared" si="7"/>
        <v>2263.468291384553</v>
      </c>
      <c r="J5" s="9">
        <f t="shared" si="8"/>
        <v>226346829.1384553</v>
      </c>
      <c r="K5" s="8">
        <f t="shared" si="9"/>
        <v>8.354774414902323</v>
      </c>
      <c r="L5">
        <f t="shared" si="10"/>
        <v>22339.536610375195</v>
      </c>
      <c r="M5" s="9">
        <f t="shared" si="11"/>
        <v>0.00024354918815297792</v>
      </c>
      <c r="N5" t="s">
        <v>164</v>
      </c>
    </row>
    <row r="6" spans="1:13" ht="12.75">
      <c r="A6" s="6">
        <f t="shared" si="12"/>
        <v>4</v>
      </c>
      <c r="B6" s="6">
        <f t="shared" si="0"/>
        <v>0.0084</v>
      </c>
      <c r="C6" s="6">
        <f t="shared" si="1"/>
        <v>7.1126050015345745</v>
      </c>
      <c r="D6" s="6">
        <f t="shared" si="2"/>
        <v>1.5849600000000001</v>
      </c>
      <c r="E6" s="6">
        <f t="shared" si="3"/>
        <v>337011.71788313275</v>
      </c>
      <c r="F6" s="9">
        <f t="shared" si="4"/>
        <v>2830.898430218315</v>
      </c>
      <c r="G6" s="6">
        <f t="shared" si="5"/>
        <v>0.2830898430218315</v>
      </c>
      <c r="H6" s="9">
        <f t="shared" si="6"/>
        <v>0.09011029571206636</v>
      </c>
      <c r="I6" s="9">
        <f t="shared" si="7"/>
        <v>901.1029571206635</v>
      </c>
      <c r="J6" s="9">
        <f t="shared" si="8"/>
        <v>90110295.71206635</v>
      </c>
      <c r="K6" s="8">
        <f t="shared" si="9"/>
        <v>7.954774414902323</v>
      </c>
      <c r="L6">
        <f t="shared" si="10"/>
        <v>8893.529711432735</v>
      </c>
      <c r="M6" s="9">
        <f t="shared" si="11"/>
        <v>9.695867818618342E-05</v>
      </c>
    </row>
    <row r="7" spans="1:13" ht="12.75">
      <c r="A7" s="6">
        <v>4.1</v>
      </c>
      <c r="B7" s="6">
        <f t="shared" si="0"/>
        <v>0.0084</v>
      </c>
      <c r="C7" s="6">
        <f t="shared" si="1"/>
        <v>7.1126050015345745</v>
      </c>
      <c r="D7" s="6">
        <f>+(A7-0.0376)/2.5</f>
        <v>1.6249599999999997</v>
      </c>
      <c r="E7" s="6">
        <f t="shared" si="3"/>
        <v>307358.33969937306</v>
      </c>
      <c r="F7" s="9">
        <f t="shared" si="4"/>
        <v>2581.8100534747336</v>
      </c>
      <c r="G7" s="6">
        <f t="shared" si="5"/>
        <v>0.2581810053474734</v>
      </c>
      <c r="H7" s="9">
        <f t="shared" si="6"/>
        <v>0.08218156642697091</v>
      </c>
      <c r="I7" s="9">
        <f t="shared" si="7"/>
        <v>821.8156642697091</v>
      </c>
      <c r="J7" s="9">
        <f>H7*10^9</f>
        <v>82181566.42697091</v>
      </c>
      <c r="K7" s="8">
        <f t="shared" si="9"/>
        <v>7.914774414902324</v>
      </c>
      <c r="L7">
        <f>+F7*PI()</f>
        <v>8110.995496960494</v>
      </c>
      <c r="M7" s="9">
        <f>H7*1.076*10^-3</f>
        <v>8.842736547542072E-05</v>
      </c>
    </row>
    <row r="8" spans="1:14" ht="12.75">
      <c r="A8" s="6">
        <f>+A6+1</f>
        <v>5</v>
      </c>
      <c r="B8" s="6">
        <f aca="true" t="shared" si="13" ref="B8:B33">0.84*10^-2</f>
        <v>0.0084</v>
      </c>
      <c r="C8" s="6">
        <f aca="true" t="shared" si="14" ref="C8:C33">2*LOG(3600)</f>
        <v>7.1126050015345745</v>
      </c>
      <c r="D8" s="6">
        <f t="shared" si="2"/>
        <v>1.9849599999999998</v>
      </c>
      <c r="E8" s="6">
        <f aca="true" t="shared" si="15" ref="E8:E30">10^(C8-D8)</f>
        <v>134166.78144982722</v>
      </c>
      <c r="F8" s="9">
        <f aca="true" t="shared" si="16" ref="F8:F30">+E8*B8</f>
        <v>1127.0009641785487</v>
      </c>
      <c r="G8" s="6">
        <f t="shared" si="5"/>
        <v>0.11270009641785488</v>
      </c>
      <c r="H8" s="9">
        <f t="shared" si="6"/>
        <v>0.035873554863669624</v>
      </c>
      <c r="I8" s="9">
        <f t="shared" si="7"/>
        <v>358.73554863669625</v>
      </c>
      <c r="J8" s="9">
        <f t="shared" si="8"/>
        <v>35873554.86366963</v>
      </c>
      <c r="K8" s="8">
        <f t="shared" si="9"/>
        <v>7.554774414902322</v>
      </c>
      <c r="L8">
        <f t="shared" si="10"/>
        <v>3540.577949651942</v>
      </c>
      <c r="M8" s="9">
        <f t="shared" si="11"/>
        <v>3.859994503330852E-05</v>
      </c>
      <c r="N8" t="s">
        <v>165</v>
      </c>
    </row>
    <row r="9" spans="1:13" ht="12.75">
      <c r="A9" s="6">
        <f t="shared" si="12"/>
        <v>6</v>
      </c>
      <c r="B9" s="6">
        <f t="shared" si="13"/>
        <v>0.0084</v>
      </c>
      <c r="C9" s="6">
        <f t="shared" si="14"/>
        <v>7.1126050015345745</v>
      </c>
      <c r="D9" s="6">
        <f t="shared" si="2"/>
        <v>2.38496</v>
      </c>
      <c r="E9" s="6">
        <f t="shared" si="15"/>
        <v>53412.75774526017</v>
      </c>
      <c r="F9" s="9">
        <f t="shared" si="16"/>
        <v>448.66716506018537</v>
      </c>
      <c r="G9" s="6">
        <f t="shared" si="5"/>
        <v>0.04486671650601854</v>
      </c>
      <c r="H9" s="9">
        <f t="shared" si="6"/>
        <v>0.014281519424471164</v>
      </c>
      <c r="I9" s="9">
        <f t="shared" si="7"/>
        <v>142.81519424471165</v>
      </c>
      <c r="J9" s="9">
        <f t="shared" si="8"/>
        <v>14281519.424471164</v>
      </c>
      <c r="K9" s="8">
        <f t="shared" si="9"/>
        <v>7.154774414902323</v>
      </c>
      <c r="L9">
        <f t="shared" si="10"/>
        <v>1409.5294696600374</v>
      </c>
      <c r="M9" s="9">
        <f t="shared" si="11"/>
        <v>1.5366914900730972E-05</v>
      </c>
    </row>
    <row r="10" spans="1:13" ht="12.75">
      <c r="A10" s="7">
        <v>6.43</v>
      </c>
      <c r="B10" s="7">
        <f t="shared" si="13"/>
        <v>0.0084</v>
      </c>
      <c r="C10" s="7">
        <f t="shared" si="14"/>
        <v>7.1126050015345745</v>
      </c>
      <c r="D10" s="7">
        <f>+(A10-0.0376)/2.5</f>
        <v>2.5569599999999997</v>
      </c>
      <c r="E10" s="7">
        <f>10^(C10-D10)</f>
        <v>35945.539110329555</v>
      </c>
      <c r="F10" s="10">
        <f>+E10*B10</f>
        <v>301.9425285267682</v>
      </c>
      <c r="G10" s="7">
        <f t="shared" si="5"/>
        <v>0.030194252852676823</v>
      </c>
      <c r="H10" s="10">
        <f t="shared" si="6"/>
        <v>0.009611129188940156</v>
      </c>
      <c r="I10" s="10">
        <f t="shared" si="7"/>
        <v>96.11129188940157</v>
      </c>
      <c r="J10" s="10">
        <f t="shared" si="8"/>
        <v>9611129.188940156</v>
      </c>
      <c r="K10" s="11">
        <f t="shared" si="9"/>
        <v>6.982774414902323</v>
      </c>
      <c r="L10" s="3">
        <f t="shared" si="10"/>
        <v>948.5804294260216</v>
      </c>
      <c r="M10" s="10">
        <f t="shared" si="11"/>
        <v>1.0341575007299609E-05</v>
      </c>
    </row>
    <row r="11" spans="1:13" ht="12.75">
      <c r="A11" s="6">
        <f>+A9+1</f>
        <v>7</v>
      </c>
      <c r="B11" s="6">
        <f t="shared" si="13"/>
        <v>0.0084</v>
      </c>
      <c r="C11" s="6">
        <f t="shared" si="14"/>
        <v>7.1126050015345745</v>
      </c>
      <c r="D11" s="6">
        <f t="shared" si="2"/>
        <v>2.78496</v>
      </c>
      <c r="E11" s="6">
        <f t="shared" si="15"/>
        <v>21264.001857424926</v>
      </c>
      <c r="F11" s="9">
        <f t="shared" si="16"/>
        <v>178.61761560236937</v>
      </c>
      <c r="G11" s="6">
        <f t="shared" si="5"/>
        <v>0.017861761560236937</v>
      </c>
      <c r="H11" s="9">
        <f t="shared" si="6"/>
        <v>0.005685575289281027</v>
      </c>
      <c r="I11" s="9">
        <f t="shared" si="7"/>
        <v>56.85575289281027</v>
      </c>
      <c r="J11" s="9">
        <f t="shared" si="8"/>
        <v>5685575.289281027</v>
      </c>
      <c r="K11" s="8">
        <f t="shared" si="9"/>
        <v>6.7547744149023226</v>
      </c>
      <c r="L11">
        <f t="shared" si="10"/>
        <v>561.1437889781292</v>
      </c>
      <c r="M11" s="9">
        <f t="shared" si="11"/>
        <v>6.117679011266385E-06</v>
      </c>
    </row>
    <row r="12" spans="1:13" ht="12.75">
      <c r="A12" s="6">
        <f>+A11+1</f>
        <v>8</v>
      </c>
      <c r="B12" s="6">
        <f t="shared" si="13"/>
        <v>0.0084</v>
      </c>
      <c r="C12" s="6">
        <f t="shared" si="14"/>
        <v>7.1126050015345745</v>
      </c>
      <c r="D12" s="6">
        <f t="shared" si="2"/>
        <v>3.18496</v>
      </c>
      <c r="E12" s="6">
        <f t="shared" si="15"/>
        <v>8465.35161410375</v>
      </c>
      <c r="F12" s="9">
        <f t="shared" si="16"/>
        <v>71.1089535584715</v>
      </c>
      <c r="G12" s="6">
        <f t="shared" si="5"/>
        <v>0.00711089535584715</v>
      </c>
      <c r="H12" s="9">
        <f t="shared" si="6"/>
        <v>0.002263468291384552</v>
      </c>
      <c r="I12" s="9">
        <f t="shared" si="7"/>
        <v>22.63468291384552</v>
      </c>
      <c r="J12" s="9">
        <f t="shared" si="8"/>
        <v>2263468.291384552</v>
      </c>
      <c r="K12" s="8">
        <f t="shared" si="9"/>
        <v>6.354774414902323</v>
      </c>
      <c r="L12">
        <f t="shared" si="10"/>
        <v>223.39536610375183</v>
      </c>
      <c r="M12" s="9">
        <f t="shared" si="11"/>
        <v>2.4354918815297783E-06</v>
      </c>
    </row>
    <row r="13" spans="1:13" ht="12.75">
      <c r="A13" s="7">
        <v>8.75</v>
      </c>
      <c r="B13" s="7">
        <f>0.69*10^-2</f>
        <v>0.0069</v>
      </c>
      <c r="C13" s="7">
        <f t="shared" si="14"/>
        <v>7.1126050015345745</v>
      </c>
      <c r="D13" s="7">
        <f>+(A13-0.0376)/2.5</f>
        <v>3.48496</v>
      </c>
      <c r="E13" s="7">
        <f>10^(C13-D13)</f>
        <v>4242.72615715482</v>
      </c>
      <c r="F13" s="10">
        <f>+E13*B13</f>
        <v>29.274810484368256</v>
      </c>
      <c r="G13" s="7">
        <f t="shared" si="5"/>
        <v>0.0029274810484368257</v>
      </c>
      <c r="H13" s="10">
        <f t="shared" si="6"/>
        <v>0.0009318461593331302</v>
      </c>
      <c r="I13" s="10">
        <f t="shared" si="7"/>
        <v>9.318461593331302</v>
      </c>
      <c r="J13" s="10">
        <f t="shared" si="8"/>
        <v>931846.1593331302</v>
      </c>
      <c r="K13" s="11">
        <f t="shared" si="9"/>
        <v>5.969344219577696</v>
      </c>
      <c r="L13" s="3">
        <f t="shared" si="10"/>
        <v>91.96952955292477</v>
      </c>
      <c r="M13" s="10">
        <f t="shared" si="11"/>
        <v>1.0026664674424483E-06</v>
      </c>
    </row>
    <row r="14" spans="1:14" ht="12.75">
      <c r="A14" s="6">
        <f>+A12+1</f>
        <v>9</v>
      </c>
      <c r="B14" s="6">
        <f t="shared" si="13"/>
        <v>0.0084</v>
      </c>
      <c r="C14" s="6">
        <f t="shared" si="14"/>
        <v>7.1126050015345745</v>
      </c>
      <c r="D14" s="6">
        <f t="shared" si="2"/>
        <v>3.58496</v>
      </c>
      <c r="E14" s="6">
        <f t="shared" si="15"/>
        <v>3370.117178831326</v>
      </c>
      <c r="F14" s="9">
        <f t="shared" si="16"/>
        <v>28.308984302183134</v>
      </c>
      <c r="G14" s="6">
        <f t="shared" si="5"/>
        <v>0.0028308984302183138</v>
      </c>
      <c r="H14" s="9">
        <f t="shared" si="6"/>
        <v>0.0009011029571206632</v>
      </c>
      <c r="I14" s="9">
        <f t="shared" si="7"/>
        <v>9.011029571206633</v>
      </c>
      <c r="J14" s="9">
        <f t="shared" si="8"/>
        <v>901102.9571206631</v>
      </c>
      <c r="K14" s="8">
        <f t="shared" si="9"/>
        <v>5.954774414902323</v>
      </c>
      <c r="L14">
        <f t="shared" si="10"/>
        <v>88.93529711432731</v>
      </c>
      <c r="M14" s="9">
        <f t="shared" si="11"/>
        <v>9.695867818618336E-07</v>
      </c>
      <c r="N14" t="s">
        <v>166</v>
      </c>
    </row>
    <row r="15" spans="1:14" ht="12.75">
      <c r="A15" s="6">
        <f t="shared" si="12"/>
        <v>10</v>
      </c>
      <c r="B15" s="6">
        <f t="shared" si="13"/>
        <v>0.0084</v>
      </c>
      <c r="C15" s="6">
        <f t="shared" si="14"/>
        <v>7.1126050015345745</v>
      </c>
      <c r="D15" s="6">
        <f t="shared" si="2"/>
        <v>3.98496</v>
      </c>
      <c r="E15" s="6">
        <f t="shared" si="15"/>
        <v>1341.6678144982727</v>
      </c>
      <c r="F15" s="9">
        <f t="shared" si="16"/>
        <v>11.27000964178549</v>
      </c>
      <c r="G15" s="6">
        <f t="shared" si="5"/>
        <v>0.001127000964178549</v>
      </c>
      <c r="H15" s="9">
        <f t="shared" si="6"/>
        <v>0.0003587355486366963</v>
      </c>
      <c r="I15" s="9">
        <f t="shared" si="7"/>
        <v>3.5873554863669628</v>
      </c>
      <c r="J15" s="9">
        <f t="shared" si="8"/>
        <v>358735.5486366963</v>
      </c>
      <c r="K15" s="8">
        <f t="shared" si="9"/>
        <v>5.554774414902322</v>
      </c>
      <c r="L15">
        <f t="shared" si="10"/>
        <v>35.405779496519436</v>
      </c>
      <c r="M15" s="9">
        <f t="shared" si="11"/>
        <v>3.859994503330853E-07</v>
      </c>
      <c r="N15" t="s">
        <v>167</v>
      </c>
    </row>
    <row r="16" spans="1:13" ht="12.75">
      <c r="A16" s="6">
        <f t="shared" si="12"/>
        <v>11</v>
      </c>
      <c r="B16" s="6">
        <f t="shared" si="13"/>
        <v>0.0084</v>
      </c>
      <c r="C16" s="6">
        <f t="shared" si="14"/>
        <v>7.1126050015345745</v>
      </c>
      <c r="D16" s="6">
        <f t="shared" si="2"/>
        <v>4.38496</v>
      </c>
      <c r="E16" s="6">
        <f t="shared" si="15"/>
        <v>534.1275774526015</v>
      </c>
      <c r="F16" s="9">
        <f t="shared" si="16"/>
        <v>4.486671650601852</v>
      </c>
      <c r="G16" s="6">
        <f t="shared" si="5"/>
        <v>0.0004486671650601852</v>
      </c>
      <c r="H16" s="9">
        <f t="shared" si="6"/>
        <v>0.0001428151942447116</v>
      </c>
      <c r="I16" s="9">
        <f t="shared" si="7"/>
        <v>1.4281519424471159</v>
      </c>
      <c r="J16" s="9">
        <f t="shared" si="8"/>
        <v>142815.1942447116</v>
      </c>
      <c r="K16" s="8">
        <f t="shared" si="9"/>
        <v>5.154774414902322</v>
      </c>
      <c r="L16">
        <f t="shared" si="10"/>
        <v>14.09529469660037</v>
      </c>
      <c r="M16" s="9">
        <f t="shared" si="11"/>
        <v>1.536691490073097E-07</v>
      </c>
    </row>
    <row r="17" spans="1:14" ht="12.75">
      <c r="A17" s="6">
        <f t="shared" si="12"/>
        <v>12</v>
      </c>
      <c r="B17" s="6">
        <f t="shared" si="13"/>
        <v>0.0084</v>
      </c>
      <c r="C17" s="6">
        <f t="shared" si="14"/>
        <v>7.1126050015345745</v>
      </c>
      <c r="D17" s="6">
        <f t="shared" si="2"/>
        <v>4.78496</v>
      </c>
      <c r="E17" s="6">
        <f t="shared" si="15"/>
        <v>212.64001857424938</v>
      </c>
      <c r="F17" s="9">
        <f t="shared" si="16"/>
        <v>1.7861761560236946</v>
      </c>
      <c r="G17" s="6">
        <f t="shared" si="5"/>
        <v>0.00017861761560236948</v>
      </c>
      <c r="H17" s="9">
        <f t="shared" si="6"/>
        <v>5.685575289281031E-05</v>
      </c>
      <c r="I17" s="9">
        <f t="shared" si="7"/>
        <v>0.5685575289281031</v>
      </c>
      <c r="J17" s="9">
        <f t="shared" si="8"/>
        <v>56855.752892810306</v>
      </c>
      <c r="K17" s="8">
        <f t="shared" si="9"/>
        <v>4.7547744149023226</v>
      </c>
      <c r="L17">
        <f t="shared" si="10"/>
        <v>5.611437889781295</v>
      </c>
      <c r="M17" s="9">
        <f t="shared" si="11"/>
        <v>6.117679011266389E-08</v>
      </c>
      <c r="N17" t="s">
        <v>303</v>
      </c>
    </row>
    <row r="18" spans="1:14" ht="12.75">
      <c r="A18" s="6">
        <f t="shared" si="12"/>
        <v>13</v>
      </c>
      <c r="B18" s="6">
        <f t="shared" si="13"/>
        <v>0.0084</v>
      </c>
      <c r="C18" s="6">
        <f t="shared" si="14"/>
        <v>7.1126050015345745</v>
      </c>
      <c r="D18" s="6">
        <f t="shared" si="2"/>
        <v>5.18496</v>
      </c>
      <c r="E18" s="6">
        <f t="shared" si="15"/>
        <v>84.65351614103739</v>
      </c>
      <c r="F18" s="9">
        <f t="shared" si="16"/>
        <v>0.711089535584714</v>
      </c>
      <c r="G18" s="6">
        <f t="shared" si="5"/>
        <v>7.11089535584714E-05</v>
      </c>
      <c r="H18" s="9">
        <f t="shared" si="6"/>
        <v>2.263468291384549E-05</v>
      </c>
      <c r="I18" s="9">
        <f t="shared" si="7"/>
        <v>0.22634682913845489</v>
      </c>
      <c r="J18" s="9">
        <f t="shared" si="8"/>
        <v>22634.68291384549</v>
      </c>
      <c r="K18" s="8">
        <f t="shared" si="9"/>
        <v>4.354774414902322</v>
      </c>
      <c r="L18">
        <f t="shared" si="10"/>
        <v>2.2339536610375155</v>
      </c>
      <c r="M18" s="9">
        <f t="shared" si="11"/>
        <v>2.435491881529775E-08</v>
      </c>
      <c r="N18" t="s">
        <v>304</v>
      </c>
    </row>
    <row r="19" spans="1:13" ht="12.75">
      <c r="A19" s="6">
        <f t="shared" si="12"/>
        <v>14</v>
      </c>
      <c r="B19" s="6">
        <f t="shared" si="13"/>
        <v>0.0084</v>
      </c>
      <c r="C19" s="6">
        <f t="shared" si="14"/>
        <v>7.1126050015345745</v>
      </c>
      <c r="D19" s="6">
        <f t="shared" si="2"/>
        <v>5.584960000000001</v>
      </c>
      <c r="E19" s="6">
        <f t="shared" si="15"/>
        <v>33.70117178831318</v>
      </c>
      <c r="F19" s="9">
        <f t="shared" si="16"/>
        <v>0.2830898430218307</v>
      </c>
      <c r="G19" s="6">
        <f t="shared" si="5"/>
        <v>2.8308984302183072E-05</v>
      </c>
      <c r="H19" s="9">
        <f t="shared" si="6"/>
        <v>9.01102957120661E-06</v>
      </c>
      <c r="I19" s="9">
        <f t="shared" si="7"/>
        <v>0.09011029571206611</v>
      </c>
      <c r="J19" s="9">
        <f t="shared" si="8"/>
        <v>9011.02957120661</v>
      </c>
      <c r="K19" s="8">
        <f t="shared" si="9"/>
        <v>3.954774414902322</v>
      </c>
      <c r="L19">
        <f t="shared" si="10"/>
        <v>0.8893529711432712</v>
      </c>
      <c r="M19" s="9">
        <f t="shared" si="11"/>
        <v>9.695867818618314E-09</v>
      </c>
    </row>
    <row r="20" spans="1:13" ht="12.75">
      <c r="A20" s="6">
        <f t="shared" si="12"/>
        <v>15</v>
      </c>
      <c r="B20" s="6">
        <f t="shared" si="13"/>
        <v>0.0084</v>
      </c>
      <c r="C20" s="6">
        <f t="shared" si="14"/>
        <v>7.1126050015345745</v>
      </c>
      <c r="D20" s="6">
        <f t="shared" si="2"/>
        <v>5.98496</v>
      </c>
      <c r="E20" s="6">
        <f t="shared" si="15"/>
        <v>13.416678144982722</v>
      </c>
      <c r="F20" s="9">
        <f t="shared" si="16"/>
        <v>0.11270009641785486</v>
      </c>
      <c r="G20" s="6">
        <f t="shared" si="5"/>
        <v>1.1270009641785487E-05</v>
      </c>
      <c r="H20" s="9">
        <f t="shared" si="6"/>
        <v>3.587355486366962E-06</v>
      </c>
      <c r="I20" s="9">
        <f t="shared" si="7"/>
        <v>0.03587355486366962</v>
      </c>
      <c r="J20" s="9">
        <f t="shared" si="8"/>
        <v>3587.355486366962</v>
      </c>
      <c r="K20" s="8">
        <f t="shared" si="9"/>
        <v>3.5547744149023224</v>
      </c>
      <c r="L20">
        <f t="shared" si="10"/>
        <v>0.3540577949651942</v>
      </c>
      <c r="M20" s="9">
        <f t="shared" si="11"/>
        <v>3.859994503330851E-09</v>
      </c>
    </row>
    <row r="21" spans="1:14" ht="12.75">
      <c r="A21" s="7">
        <v>15.946</v>
      </c>
      <c r="B21" s="7">
        <f t="shared" si="13"/>
        <v>0.0084</v>
      </c>
      <c r="C21" s="7">
        <f t="shared" si="14"/>
        <v>7.1126050015345745</v>
      </c>
      <c r="D21" s="7">
        <f>+(A21-0.0376)/2.5</f>
        <v>6.36336</v>
      </c>
      <c r="E21" s="7">
        <f>10^(C21-D21)</f>
        <v>5.613645731815811</v>
      </c>
      <c r="F21" s="10">
        <f>+E21*B21</f>
        <v>0.047154624147252806</v>
      </c>
      <c r="G21" s="7">
        <f t="shared" si="5"/>
        <v>4.715462414725281E-06</v>
      </c>
      <c r="H21" s="10">
        <f t="shared" si="6"/>
        <v>1.500978304535147E-06</v>
      </c>
      <c r="I21" s="10">
        <f t="shared" si="7"/>
        <v>0.01500978304535147</v>
      </c>
      <c r="J21" s="10">
        <f>H21*10^9</f>
        <v>1500.978304535147</v>
      </c>
      <c r="K21" s="11">
        <f t="shared" si="9"/>
        <v>3.1763744149023223</v>
      </c>
      <c r="L21" s="3">
        <f>+F21*PI()</f>
        <v>0.14814062080379728</v>
      </c>
      <c r="M21" s="10">
        <f>H21*1.076*10^-3</f>
        <v>1.6150526556798182E-09</v>
      </c>
      <c r="N21" t="s">
        <v>305</v>
      </c>
    </row>
    <row r="22" spans="1:14" ht="12.75">
      <c r="A22" s="6">
        <f>+A20+1</f>
        <v>16</v>
      </c>
      <c r="B22" s="6">
        <f t="shared" si="13"/>
        <v>0.0084</v>
      </c>
      <c r="C22" s="6">
        <f t="shared" si="14"/>
        <v>7.1126050015345745</v>
      </c>
      <c r="D22" s="6">
        <f t="shared" si="2"/>
        <v>6.38496</v>
      </c>
      <c r="E22" s="6">
        <f t="shared" si="15"/>
        <v>5.341275774526011</v>
      </c>
      <c r="F22" s="9">
        <f t="shared" si="16"/>
        <v>0.04486671650601849</v>
      </c>
      <c r="G22" s="6">
        <f t="shared" si="5"/>
        <v>4.486671650601849E-06</v>
      </c>
      <c r="H22" s="9">
        <f t="shared" si="6"/>
        <v>1.428151942447115E-06</v>
      </c>
      <c r="I22" s="9">
        <f t="shared" si="7"/>
        <v>0.014281519424471149</v>
      </c>
      <c r="J22" s="9">
        <f t="shared" si="8"/>
        <v>1428.1519424471148</v>
      </c>
      <c r="K22" s="8">
        <f t="shared" si="9"/>
        <v>3.154774414902322</v>
      </c>
      <c r="L22">
        <f t="shared" si="10"/>
        <v>0.1409529469660036</v>
      </c>
      <c r="M22" s="9">
        <f t="shared" si="11"/>
        <v>1.5366914900730957E-09</v>
      </c>
      <c r="N22" t="s">
        <v>168</v>
      </c>
    </row>
    <row r="23" spans="1:14" ht="12.75">
      <c r="A23" s="6">
        <f t="shared" si="12"/>
        <v>17</v>
      </c>
      <c r="B23" s="6">
        <f t="shared" si="13"/>
        <v>0.0084</v>
      </c>
      <c r="C23" s="6">
        <f t="shared" si="14"/>
        <v>7.1126050015345745</v>
      </c>
      <c r="D23" s="6">
        <f t="shared" si="2"/>
        <v>6.78496</v>
      </c>
      <c r="E23" s="6">
        <f t="shared" si="15"/>
        <v>2.126400185742492</v>
      </c>
      <c r="F23" s="9">
        <f t="shared" si="16"/>
        <v>0.01786176156023693</v>
      </c>
      <c r="G23" s="6">
        <f t="shared" si="5"/>
        <v>1.786176156023693E-06</v>
      </c>
      <c r="H23" s="9">
        <f t="shared" si="6"/>
        <v>5.685575289281025E-07</v>
      </c>
      <c r="I23" s="9">
        <f t="shared" si="7"/>
        <v>0.005685575289281025</v>
      </c>
      <c r="J23" s="9">
        <f t="shared" si="8"/>
        <v>568.5575289281026</v>
      </c>
      <c r="K23" s="8">
        <f t="shared" si="9"/>
        <v>2.7547744149023226</v>
      </c>
      <c r="L23">
        <f t="shared" si="10"/>
        <v>0.0561143788978129</v>
      </c>
      <c r="M23" s="9">
        <f t="shared" si="11"/>
        <v>6.117679011266384E-10</v>
      </c>
      <c r="N23" t="s">
        <v>168</v>
      </c>
    </row>
    <row r="24" spans="1:14" ht="12.75">
      <c r="A24" s="6">
        <f t="shared" si="12"/>
        <v>18</v>
      </c>
      <c r="B24" s="6">
        <f t="shared" si="13"/>
        <v>0.0084</v>
      </c>
      <c r="C24" s="6">
        <f t="shared" si="14"/>
        <v>7.1126050015345745</v>
      </c>
      <c r="D24" s="6">
        <f t="shared" si="2"/>
        <v>7.184959999999999</v>
      </c>
      <c r="E24" s="6">
        <f t="shared" si="15"/>
        <v>0.8465351614103754</v>
      </c>
      <c r="F24" s="9">
        <f t="shared" si="16"/>
        <v>0.007110895355847153</v>
      </c>
      <c r="G24" s="6">
        <f t="shared" si="5"/>
        <v>7.110895355847153E-07</v>
      </c>
      <c r="H24" s="9">
        <f t="shared" si="6"/>
        <v>2.2634682913845531E-07</v>
      </c>
      <c r="I24" s="9">
        <f t="shared" si="7"/>
        <v>0.002263468291384553</v>
      </c>
      <c r="J24" s="9">
        <f t="shared" si="8"/>
        <v>226.34682913845532</v>
      </c>
      <c r="K24" s="8">
        <f t="shared" si="9"/>
        <v>2.354774414902323</v>
      </c>
      <c r="L24">
        <f t="shared" si="10"/>
        <v>0.02233953661037519</v>
      </c>
      <c r="M24" s="9">
        <f t="shared" si="11"/>
        <v>2.4354918815297793E-10</v>
      </c>
      <c r="N24" t="s">
        <v>169</v>
      </c>
    </row>
    <row r="25" spans="1:13" ht="12.75">
      <c r="A25" s="6">
        <f t="shared" si="12"/>
        <v>19</v>
      </c>
      <c r="B25" s="6">
        <f t="shared" si="13"/>
        <v>0.0084</v>
      </c>
      <c r="C25" s="6">
        <f t="shared" si="14"/>
        <v>7.1126050015345745</v>
      </c>
      <c r="D25" s="6">
        <f t="shared" si="2"/>
        <v>7.58496</v>
      </c>
      <c r="E25" s="6">
        <f t="shared" si="15"/>
        <v>0.3370117178831324</v>
      </c>
      <c r="F25" s="9">
        <f t="shared" si="16"/>
        <v>0.002830898430218312</v>
      </c>
      <c r="G25" s="6">
        <f t="shared" si="5"/>
        <v>2.830898430218312E-07</v>
      </c>
      <c r="H25" s="9">
        <f t="shared" si="6"/>
        <v>9.011029571206626E-08</v>
      </c>
      <c r="I25" s="9">
        <f t="shared" si="7"/>
        <v>0.0009011029571206625</v>
      </c>
      <c r="J25" s="9">
        <f t="shared" si="8"/>
        <v>90.11029571206626</v>
      </c>
      <c r="K25" s="8">
        <f t="shared" si="9"/>
        <v>1.9547744149023225</v>
      </c>
      <c r="L25">
        <f t="shared" si="10"/>
        <v>0.008893529711432726</v>
      </c>
      <c r="M25" s="9">
        <f t="shared" si="11"/>
        <v>9.695867818618329E-11</v>
      </c>
    </row>
    <row r="26" spans="1:13" ht="12.75">
      <c r="A26" s="6">
        <f t="shared" si="12"/>
        <v>20</v>
      </c>
      <c r="B26" s="6">
        <f t="shared" si="13"/>
        <v>0.0084</v>
      </c>
      <c r="C26" s="6">
        <f t="shared" si="14"/>
        <v>7.1126050015345745</v>
      </c>
      <c r="D26" s="6">
        <f t="shared" si="2"/>
        <v>7.984959999999999</v>
      </c>
      <c r="E26" s="6">
        <f t="shared" si="15"/>
        <v>0.13416678144982747</v>
      </c>
      <c r="F26" s="9">
        <f t="shared" si="16"/>
        <v>0.0011270009641785505</v>
      </c>
      <c r="G26" s="6">
        <f t="shared" si="5"/>
        <v>1.1270009641785507E-07</v>
      </c>
      <c r="H26" s="9">
        <f t="shared" si="6"/>
        <v>3.5873554863669684E-08</v>
      </c>
      <c r="I26" s="9">
        <f t="shared" si="7"/>
        <v>0.00035873554863669684</v>
      </c>
      <c r="J26" s="9">
        <f t="shared" si="8"/>
        <v>35.87355486366968</v>
      </c>
      <c r="K26" s="8">
        <f t="shared" si="9"/>
        <v>1.5547744149023233</v>
      </c>
      <c r="L26">
        <f t="shared" si="10"/>
        <v>0.003540577949651948</v>
      </c>
      <c r="M26" s="9">
        <f t="shared" si="11"/>
        <v>3.859994503330859E-11</v>
      </c>
    </row>
    <row r="27" spans="1:13" ht="12.75">
      <c r="A27" s="6">
        <f t="shared" si="12"/>
        <v>21</v>
      </c>
      <c r="B27" s="6">
        <f t="shared" si="13"/>
        <v>0.0084</v>
      </c>
      <c r="C27" s="6">
        <f t="shared" si="14"/>
        <v>7.1126050015345745</v>
      </c>
      <c r="D27" s="6">
        <f t="shared" si="2"/>
        <v>8.38496</v>
      </c>
      <c r="E27" s="6">
        <f t="shared" si="15"/>
        <v>0.0534127577452602</v>
      </c>
      <c r="F27" s="9">
        <f t="shared" si="16"/>
        <v>0.00044866716506018566</v>
      </c>
      <c r="G27" s="6">
        <f t="shared" si="5"/>
        <v>4.486671650601857E-08</v>
      </c>
      <c r="H27" s="9">
        <f t="shared" si="6"/>
        <v>1.4281519424471175E-08</v>
      </c>
      <c r="I27" s="9">
        <f t="shared" si="7"/>
        <v>0.00014281519424471175</v>
      </c>
      <c r="J27" s="9">
        <f t="shared" si="8"/>
        <v>14.281519424471174</v>
      </c>
      <c r="K27" s="8">
        <f t="shared" si="9"/>
        <v>1.1547744149023227</v>
      </c>
      <c r="L27">
        <f t="shared" si="10"/>
        <v>0.0014095294696600384</v>
      </c>
      <c r="M27" s="9">
        <f t="shared" si="11"/>
        <v>1.5366914900730986E-11</v>
      </c>
    </row>
    <row r="28" spans="1:14" ht="12.75">
      <c r="A28" s="6">
        <f t="shared" si="12"/>
        <v>22</v>
      </c>
      <c r="B28" s="6">
        <f t="shared" si="13"/>
        <v>0.0084</v>
      </c>
      <c r="C28" s="6">
        <f t="shared" si="14"/>
        <v>7.1126050015345745</v>
      </c>
      <c r="D28" s="6">
        <f t="shared" si="2"/>
        <v>8.78496</v>
      </c>
      <c r="E28" s="6">
        <f t="shared" si="15"/>
        <v>0.02126400185742491</v>
      </c>
      <c r="F28" s="9">
        <f t="shared" si="16"/>
        <v>0.00017861761560236924</v>
      </c>
      <c r="G28" s="6">
        <f t="shared" si="5"/>
        <v>1.7861761560236923E-08</v>
      </c>
      <c r="H28" s="9">
        <f t="shared" si="6"/>
        <v>5.685575289281023E-09</v>
      </c>
      <c r="I28" s="9">
        <f t="shared" si="7"/>
        <v>5.685575289281023E-05</v>
      </c>
      <c r="J28" s="9">
        <f t="shared" si="8"/>
        <v>5.685575289281023</v>
      </c>
      <c r="K28" s="8">
        <f t="shared" si="9"/>
        <v>0.7547744149023223</v>
      </c>
      <c r="L28">
        <f t="shared" si="10"/>
        <v>0.0005611437889781288</v>
      </c>
      <c r="M28" s="9">
        <f t="shared" si="11"/>
        <v>6.117679011266381E-12</v>
      </c>
      <c r="N28" t="s">
        <v>170</v>
      </c>
    </row>
    <row r="29" spans="1:13" ht="12.75">
      <c r="A29" s="6">
        <f t="shared" si="12"/>
        <v>23</v>
      </c>
      <c r="B29" s="6">
        <f t="shared" si="13"/>
        <v>0.0084</v>
      </c>
      <c r="C29" s="6">
        <f t="shared" si="14"/>
        <v>7.1126050015345745</v>
      </c>
      <c r="D29" s="6">
        <f t="shared" si="2"/>
        <v>9.18496</v>
      </c>
      <c r="E29" s="6">
        <f t="shared" si="15"/>
        <v>0.00846535161410373</v>
      </c>
      <c r="F29" s="9">
        <f t="shared" si="16"/>
        <v>7.110895355847133E-05</v>
      </c>
      <c r="G29" s="6">
        <f t="shared" si="5"/>
        <v>7.1108953558471335E-09</v>
      </c>
      <c r="H29" s="9">
        <f t="shared" si="6"/>
        <v>2.2634682913845468E-09</v>
      </c>
      <c r="I29" s="9">
        <f t="shared" si="7"/>
        <v>2.263468291384547E-05</v>
      </c>
      <c r="J29" s="9">
        <f t="shared" si="8"/>
        <v>2.2634682913845467</v>
      </c>
      <c r="K29" s="8">
        <f t="shared" si="9"/>
        <v>0.35477441490232176</v>
      </c>
      <c r="L29">
        <f t="shared" si="10"/>
        <v>0.0002233953661037513</v>
      </c>
      <c r="M29" s="9">
        <f t="shared" si="11"/>
        <v>2.4354918815297727E-12</v>
      </c>
    </row>
    <row r="30" spans="1:13" ht="12.75">
      <c r="A30" s="6">
        <f t="shared" si="12"/>
        <v>24</v>
      </c>
      <c r="B30" s="6">
        <f t="shared" si="13"/>
        <v>0.0084</v>
      </c>
      <c r="C30" s="6">
        <f t="shared" si="14"/>
        <v>7.1126050015345745</v>
      </c>
      <c r="D30" s="6">
        <f t="shared" si="2"/>
        <v>9.584959999999999</v>
      </c>
      <c r="E30" s="6">
        <f t="shared" si="15"/>
        <v>0.00337011717883133</v>
      </c>
      <c r="F30" s="9">
        <f t="shared" si="16"/>
        <v>2.830898430218317E-05</v>
      </c>
      <c r="G30" s="6">
        <f t="shared" si="5"/>
        <v>2.830898430218317E-09</v>
      </c>
      <c r="H30" s="9">
        <f t="shared" si="6"/>
        <v>9.011029571206642E-10</v>
      </c>
      <c r="I30" s="9">
        <f t="shared" si="7"/>
        <v>9.011029571206643E-06</v>
      </c>
      <c r="J30" s="9">
        <f t="shared" si="8"/>
        <v>0.9011029571206642</v>
      </c>
      <c r="K30" s="8">
        <f t="shared" si="9"/>
        <v>-0.045225585097676595</v>
      </c>
      <c r="L30">
        <f t="shared" si="10"/>
        <v>8.893529711432742E-05</v>
      </c>
      <c r="M30" s="9">
        <f t="shared" si="11"/>
        <v>9.695867818618348E-13</v>
      </c>
    </row>
    <row r="31" spans="1:13" ht="12.75">
      <c r="A31" s="6">
        <f t="shared" si="12"/>
        <v>25</v>
      </c>
      <c r="B31" s="6">
        <f t="shared" si="13"/>
        <v>0.0084</v>
      </c>
      <c r="C31" s="6">
        <f t="shared" si="14"/>
        <v>7.1126050015345745</v>
      </c>
      <c r="D31" s="6">
        <f t="shared" si="2"/>
        <v>9.98496</v>
      </c>
      <c r="E31" s="6">
        <f>10^(C31-D31)</f>
        <v>0.0013416678144982735</v>
      </c>
      <c r="F31" s="9">
        <f>+E31*B31</f>
        <v>1.1270009641785497E-05</v>
      </c>
      <c r="G31" s="6">
        <f t="shared" si="5"/>
        <v>1.1270009641785497E-09</v>
      </c>
      <c r="H31" s="9">
        <f t="shared" si="6"/>
        <v>3.587355486366965E-10</v>
      </c>
      <c r="I31" s="9">
        <f t="shared" si="7"/>
        <v>3.587355486366965E-06</v>
      </c>
      <c r="J31" s="9">
        <f t="shared" si="8"/>
        <v>0.3587355486366965</v>
      </c>
      <c r="K31" s="8">
        <f t="shared" si="9"/>
        <v>-0.44522558509767723</v>
      </c>
      <c r="L31">
        <f t="shared" si="10"/>
        <v>3.540577949651945E-05</v>
      </c>
      <c r="M31" s="9">
        <f t="shared" si="11"/>
        <v>3.8599945033308545E-13</v>
      </c>
    </row>
    <row r="32" spans="1:13" ht="12.75">
      <c r="A32" s="6">
        <f t="shared" si="12"/>
        <v>26</v>
      </c>
      <c r="B32" s="6">
        <f t="shared" si="13"/>
        <v>0.0084</v>
      </c>
      <c r="C32" s="6">
        <f t="shared" si="14"/>
        <v>7.1126050015345745</v>
      </c>
      <c r="D32" s="6">
        <f t="shared" si="2"/>
        <v>10.38496</v>
      </c>
      <c r="E32" s="6">
        <f>10^(C32-D32)</f>
        <v>0.0005341275774526017</v>
      </c>
      <c r="F32" s="9">
        <f>+E32*B32</f>
        <v>4.486671650601854E-06</v>
      </c>
      <c r="G32" s="6">
        <f t="shared" si="5"/>
        <v>4.4866716506018545E-10</v>
      </c>
      <c r="H32" s="9">
        <f t="shared" si="6"/>
        <v>1.4281519424471165E-10</v>
      </c>
      <c r="I32" s="9">
        <f t="shared" si="7"/>
        <v>1.4281519424471164E-06</v>
      </c>
      <c r="J32" s="9">
        <f t="shared" si="8"/>
        <v>0.14281519424471165</v>
      </c>
      <c r="K32" s="8">
        <f t="shared" si="9"/>
        <v>-0.8452255850976775</v>
      </c>
      <c r="L32">
        <f t="shared" si="10"/>
        <v>1.4095294696600376E-05</v>
      </c>
      <c r="M32" s="9">
        <f t="shared" si="11"/>
        <v>1.5366914900730974E-13</v>
      </c>
    </row>
    <row r="33" spans="1:14" ht="12.75">
      <c r="A33" s="6">
        <f t="shared" si="12"/>
        <v>27</v>
      </c>
      <c r="B33" s="6">
        <f t="shared" si="13"/>
        <v>0.0084</v>
      </c>
      <c r="C33" s="6">
        <f t="shared" si="14"/>
        <v>7.1126050015345745</v>
      </c>
      <c r="D33" s="6">
        <f t="shared" si="2"/>
        <v>10.78496</v>
      </c>
      <c r="E33" s="6">
        <f>10^(C33-D33)</f>
        <v>0.00021264001857424888</v>
      </c>
      <c r="F33" s="9">
        <f>+E33*B33</f>
        <v>1.7861761560236905E-06</v>
      </c>
      <c r="G33" s="6">
        <f t="shared" si="5"/>
        <v>1.7861761560236905E-10</v>
      </c>
      <c r="H33" s="9">
        <f t="shared" si="6"/>
        <v>5.685575289281017E-11</v>
      </c>
      <c r="I33" s="9">
        <f t="shared" si="7"/>
        <v>5.685575289281017E-07</v>
      </c>
      <c r="J33" s="9">
        <f t="shared" si="8"/>
        <v>0.05685575289281017</v>
      </c>
      <c r="K33" s="8">
        <f t="shared" si="9"/>
        <v>-1.2452255850976781</v>
      </c>
      <c r="L33">
        <f t="shared" si="10"/>
        <v>5.611437889781282E-06</v>
      </c>
      <c r="M33" s="9">
        <f t="shared" si="11"/>
        <v>6.117679011266375E-14</v>
      </c>
      <c r="N33" t="s">
        <v>306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36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1" customWidth="1"/>
    <col min="2" max="2" width="12.7109375" style="1" customWidth="1"/>
    <col min="3" max="3" width="10.140625" style="1" customWidth="1"/>
    <col min="4" max="4" width="10.28125" style="1" customWidth="1"/>
    <col min="5" max="5" width="11.7109375" style="1" customWidth="1"/>
    <col min="6" max="6" width="12.421875" style="0" customWidth="1"/>
    <col min="10" max="10" width="13.140625" style="0" bestFit="1" customWidth="1"/>
    <col min="14" max="14" width="0" style="0" hidden="1" customWidth="1"/>
    <col min="15" max="15" width="14.28125" style="5" hidden="1" customWidth="1"/>
    <col min="16" max="21" width="0" style="0" hidden="1" customWidth="1"/>
    <col min="22" max="22" width="12.421875" style="0" hidden="1" customWidth="1"/>
    <col min="23" max="23" width="12.421875" style="1" hidden="1" customWidth="1"/>
    <col min="24" max="24" width="0" style="0" hidden="1" customWidth="1"/>
  </cols>
  <sheetData>
    <row r="1" spans="1:23" ht="12.75">
      <c r="A1" s="13" t="s">
        <v>18</v>
      </c>
      <c r="B1" s="13" t="s">
        <v>4</v>
      </c>
      <c r="C1" s="13" t="s">
        <v>3</v>
      </c>
      <c r="D1" s="13" t="s">
        <v>5</v>
      </c>
      <c r="E1" s="13" t="s">
        <v>7</v>
      </c>
      <c r="F1" s="12" t="s">
        <v>15</v>
      </c>
      <c r="G1" s="12" t="s">
        <v>0</v>
      </c>
      <c r="H1" s="35" t="s">
        <v>221</v>
      </c>
      <c r="I1" s="12" t="s">
        <v>222</v>
      </c>
      <c r="J1" s="12" t="s">
        <v>9</v>
      </c>
      <c r="O1" s="15" t="s">
        <v>17</v>
      </c>
      <c r="P1" s="12" t="s">
        <v>16</v>
      </c>
      <c r="Q1" s="12" t="s">
        <v>205</v>
      </c>
      <c r="R1" s="12" t="s">
        <v>206</v>
      </c>
      <c r="S1" s="12" t="s">
        <v>0</v>
      </c>
      <c r="T1" s="12" t="s">
        <v>207</v>
      </c>
      <c r="U1" s="12" t="s">
        <v>208</v>
      </c>
      <c r="V1" s="12" t="s">
        <v>15</v>
      </c>
      <c r="W1" s="13" t="s">
        <v>7</v>
      </c>
    </row>
    <row r="2" spans="1:23" ht="12.75">
      <c r="A2" s="34">
        <v>3587355486.36697</v>
      </c>
      <c r="B2" s="9">
        <f>A2*10^-6</f>
        <v>3587.35548636697</v>
      </c>
      <c r="C2" s="9">
        <f>+B2*10^-3</f>
        <v>3.5873554863669703</v>
      </c>
      <c r="D2" s="9">
        <f>C2*PI()</f>
        <v>11.270009641785514</v>
      </c>
      <c r="E2" s="36">
        <f>D2*10^4</f>
        <v>112700.09641785514</v>
      </c>
      <c r="F2" s="6">
        <f>0.84*10^-2</f>
        <v>0.0084</v>
      </c>
      <c r="G2" s="6">
        <f>2*LOG(3600)</f>
        <v>7.1126050015345745</v>
      </c>
      <c r="H2" s="6">
        <f>-2.5*(LOG(E2/F2)-G2)</f>
        <v>-0.037600000000002076</v>
      </c>
      <c r="I2" s="6">
        <v>0.0376</v>
      </c>
      <c r="J2" s="8">
        <f>+H2+I2</f>
        <v>-2.0747292772682613E-15</v>
      </c>
      <c r="O2" s="5">
        <v>1.457167719820518E-16</v>
      </c>
      <c r="P2" s="6">
        <v>0.0376</v>
      </c>
      <c r="Q2" s="6">
        <f>+O2-P2</f>
        <v>-0.037599999999999856</v>
      </c>
      <c r="R2">
        <f>+Q2/-2.5</f>
        <v>0.015039999999999942</v>
      </c>
      <c r="S2" s="6">
        <f>2*LOG(3600)</f>
        <v>7.1126050015345745</v>
      </c>
      <c r="T2" s="6">
        <f>+R2+S2</f>
        <v>7.1276450015345745</v>
      </c>
      <c r="U2">
        <f>10^T2</f>
        <v>13416678.144982751</v>
      </c>
      <c r="V2" s="6">
        <f>0.84*10^-2</f>
        <v>0.0084</v>
      </c>
      <c r="W2" s="1">
        <f>+U2*V2</f>
        <v>112700.09641785511</v>
      </c>
    </row>
    <row r="3" spans="1:23" ht="12.75">
      <c r="A3" s="9">
        <v>1428151942.4471173</v>
      </c>
      <c r="B3" s="9">
        <f>A3*10^-6</f>
        <v>1428.1519424471173</v>
      </c>
      <c r="C3" s="9">
        <f>+B3*10^-3</f>
        <v>1.4281519424471174</v>
      </c>
      <c r="D3" s="9">
        <f aca="true" t="shared" si="0" ref="D3:D33">C3*PI()</f>
        <v>4.486671650601857</v>
      </c>
      <c r="E3" s="36">
        <f aca="true" t="shared" si="1" ref="E3:E33">D3*10^4</f>
        <v>44866.71650601857</v>
      </c>
      <c r="F3" s="6">
        <f aca="true" t="shared" si="2" ref="F3:F33">0.84*10^-2</f>
        <v>0.0084</v>
      </c>
      <c r="G3" s="6">
        <f aca="true" t="shared" si="3" ref="G3:G33">2*LOG(3600)</f>
        <v>7.1126050015345745</v>
      </c>
      <c r="H3" s="6">
        <f aca="true" t="shared" si="4" ref="H3:H30">-2.5*(LOG(E3/F3)-G3)</f>
        <v>0.9623999999999988</v>
      </c>
      <c r="I3" s="6">
        <v>0.0376</v>
      </c>
      <c r="J3" s="8">
        <f aca="true" t="shared" si="5" ref="J3:J30">+H3+I3</f>
        <v>0.9999999999999988</v>
      </c>
      <c r="O3" s="5">
        <v>1</v>
      </c>
      <c r="P3" s="6">
        <v>0.0376</v>
      </c>
      <c r="Q3" s="6">
        <f aca="true" t="shared" si="6" ref="Q3:Q30">+O3-P3</f>
        <v>0.9624</v>
      </c>
      <c r="R3">
        <f aca="true" t="shared" si="7" ref="R3:R30">+Q3/-2.5</f>
        <v>-0.38496</v>
      </c>
      <c r="S3" s="6">
        <f aca="true" t="shared" si="8" ref="S3:S30">2*LOG(3600)</f>
        <v>7.1126050015345745</v>
      </c>
      <c r="T3" s="6">
        <f aca="true" t="shared" si="9" ref="T3:T30">+R3+S3</f>
        <v>6.727645001534574</v>
      </c>
      <c r="U3">
        <f aca="true" t="shared" si="10" ref="U3:U30">10^T3</f>
        <v>5341275.77452602</v>
      </c>
      <c r="V3" s="6">
        <f aca="true" t="shared" si="11" ref="V3:V30">0.84*10^-2</f>
        <v>0.0084</v>
      </c>
      <c r="W3" s="1">
        <f aca="true" t="shared" si="12" ref="W3:W30">+U3*V3</f>
        <v>44866.716506018565</v>
      </c>
    </row>
    <row r="4" spans="1:23" ht="12.75">
      <c r="A4" s="9">
        <v>568557528.9281031</v>
      </c>
      <c r="B4" s="9">
        <f>A4*10^-6</f>
        <v>568.557528928103</v>
      </c>
      <c r="C4" s="9">
        <f aca="true" t="shared" si="13" ref="C4:C33">+B4*10^-3</f>
        <v>0.5685575289281031</v>
      </c>
      <c r="D4" s="9">
        <f t="shared" si="0"/>
        <v>1.7861761560236948</v>
      </c>
      <c r="E4" s="36">
        <f t="shared" si="1"/>
        <v>17861.761560236948</v>
      </c>
      <c r="F4" s="6">
        <f t="shared" si="2"/>
        <v>0.0084</v>
      </c>
      <c r="G4" s="6">
        <f t="shared" si="3"/>
        <v>7.1126050015345745</v>
      </c>
      <c r="H4" s="6">
        <f t="shared" si="4"/>
        <v>1.9623999999999997</v>
      </c>
      <c r="I4" s="6">
        <v>0.0376</v>
      </c>
      <c r="J4" s="8">
        <f t="shared" si="5"/>
        <v>1.9999999999999998</v>
      </c>
      <c r="O4" s="5">
        <v>2</v>
      </c>
      <c r="P4" s="6">
        <v>0.0376</v>
      </c>
      <c r="Q4" s="6">
        <f t="shared" si="6"/>
        <v>1.9624</v>
      </c>
      <c r="R4">
        <f t="shared" si="7"/>
        <v>-0.78496</v>
      </c>
      <c r="S4" s="6">
        <f t="shared" si="8"/>
        <v>7.1126050015345745</v>
      </c>
      <c r="T4" s="6">
        <f t="shared" si="9"/>
        <v>6.327645001534575</v>
      </c>
      <c r="U4">
        <f t="shared" si="10"/>
        <v>2126400.1857424937</v>
      </c>
      <c r="V4" s="6">
        <f t="shared" si="11"/>
        <v>0.0084</v>
      </c>
      <c r="W4" s="1">
        <f t="shared" si="12"/>
        <v>17861.761560236948</v>
      </c>
    </row>
    <row r="5" spans="1:23" ht="12.75">
      <c r="A5" s="9">
        <v>226346829.1384553</v>
      </c>
      <c r="B5" s="9">
        <f aca="true" t="shared" si="14" ref="B5:B33">A5*10^-6</f>
        <v>226.3468291384553</v>
      </c>
      <c r="C5" s="9">
        <f t="shared" si="13"/>
        <v>0.2263468291384553</v>
      </c>
      <c r="D5" s="9">
        <f t="shared" si="0"/>
        <v>0.7110895355847153</v>
      </c>
      <c r="E5" s="36">
        <f t="shared" si="1"/>
        <v>7110.895355847153</v>
      </c>
      <c r="F5" s="6">
        <f t="shared" si="2"/>
        <v>0.0084</v>
      </c>
      <c r="G5" s="6">
        <f t="shared" si="3"/>
        <v>7.1126050015345745</v>
      </c>
      <c r="H5" s="6">
        <f t="shared" si="4"/>
        <v>2.9623999999999984</v>
      </c>
      <c r="I5" s="6">
        <v>0.0376</v>
      </c>
      <c r="J5" s="8">
        <f t="shared" si="5"/>
        <v>2.9999999999999982</v>
      </c>
      <c r="O5" s="5">
        <v>3</v>
      </c>
      <c r="P5" s="6">
        <v>0.0376</v>
      </c>
      <c r="Q5" s="6">
        <f t="shared" si="6"/>
        <v>2.9624</v>
      </c>
      <c r="R5">
        <f t="shared" si="7"/>
        <v>-1.18496</v>
      </c>
      <c r="S5" s="6">
        <f t="shared" si="8"/>
        <v>7.1126050015345745</v>
      </c>
      <c r="T5" s="6">
        <f t="shared" si="9"/>
        <v>5.927645001534574</v>
      </c>
      <c r="U5">
        <f t="shared" si="10"/>
        <v>846535.1614103754</v>
      </c>
      <c r="V5" s="6">
        <f t="shared" si="11"/>
        <v>0.0084</v>
      </c>
      <c r="W5" s="1">
        <f t="shared" si="12"/>
        <v>7110.895355847153</v>
      </c>
    </row>
    <row r="6" spans="1:23" ht="12.75">
      <c r="A6" s="9">
        <v>90110295.71206635</v>
      </c>
      <c r="B6" s="9">
        <f t="shared" si="14"/>
        <v>90.11029571206635</v>
      </c>
      <c r="C6" s="9">
        <f t="shared" si="13"/>
        <v>0.09011029571206634</v>
      </c>
      <c r="D6" s="9">
        <f t="shared" si="0"/>
        <v>0.28308984302183143</v>
      </c>
      <c r="E6" s="36">
        <f t="shared" si="1"/>
        <v>2830.8984302183144</v>
      </c>
      <c r="F6" s="6">
        <f t="shared" si="2"/>
        <v>0.0084</v>
      </c>
      <c r="G6" s="6">
        <f t="shared" si="3"/>
        <v>7.1126050015345745</v>
      </c>
      <c r="H6" s="6">
        <f t="shared" si="4"/>
        <v>3.9623999999999993</v>
      </c>
      <c r="I6" s="6">
        <v>0.0376</v>
      </c>
      <c r="J6" s="8">
        <f t="shared" si="5"/>
        <v>3.999999999999999</v>
      </c>
      <c r="O6" s="5">
        <v>4</v>
      </c>
      <c r="P6" s="6">
        <v>0.0376</v>
      </c>
      <c r="Q6" s="6">
        <f t="shared" si="6"/>
        <v>3.9624</v>
      </c>
      <c r="R6">
        <f t="shared" si="7"/>
        <v>-1.5849600000000001</v>
      </c>
      <c r="S6" s="6">
        <f t="shared" si="8"/>
        <v>7.1126050015345745</v>
      </c>
      <c r="T6" s="6">
        <f t="shared" si="9"/>
        <v>5.527645001534575</v>
      </c>
      <c r="U6">
        <f t="shared" si="10"/>
        <v>337011.71788313275</v>
      </c>
      <c r="V6" s="6">
        <f t="shared" si="11"/>
        <v>0.0084</v>
      </c>
      <c r="W6" s="1">
        <f t="shared" si="12"/>
        <v>2830.898430218315</v>
      </c>
    </row>
    <row r="7" spans="1:23" ht="12.75">
      <c r="A7" s="9">
        <v>82181566.42697091</v>
      </c>
      <c r="B7" s="9">
        <f t="shared" si="14"/>
        <v>82.1815664269709</v>
      </c>
      <c r="C7" s="9">
        <f t="shared" si="13"/>
        <v>0.0821815664269709</v>
      </c>
      <c r="D7" s="9">
        <f t="shared" si="0"/>
        <v>0.25818100534747335</v>
      </c>
      <c r="E7" s="36">
        <f t="shared" si="1"/>
        <v>2581.8100534747336</v>
      </c>
      <c r="F7" s="6">
        <f t="shared" si="2"/>
        <v>0.0084</v>
      </c>
      <c r="G7" s="6">
        <f t="shared" si="3"/>
        <v>7.1126050015345745</v>
      </c>
      <c r="H7" s="6">
        <f t="shared" si="4"/>
        <v>4.062399999999997</v>
      </c>
      <c r="I7" s="6">
        <v>0.0376</v>
      </c>
      <c r="J7" s="8">
        <f t="shared" si="5"/>
        <v>4.099999999999997</v>
      </c>
      <c r="O7" s="5">
        <v>5</v>
      </c>
      <c r="P7" s="6">
        <v>0.0376</v>
      </c>
      <c r="Q7" s="6">
        <f t="shared" si="6"/>
        <v>4.9624</v>
      </c>
      <c r="R7">
        <f t="shared" si="7"/>
        <v>-1.9849599999999998</v>
      </c>
      <c r="S7" s="6">
        <f t="shared" si="8"/>
        <v>7.1126050015345745</v>
      </c>
      <c r="T7" s="6">
        <f t="shared" si="9"/>
        <v>5.1276450015345745</v>
      </c>
      <c r="U7">
        <f t="shared" si="10"/>
        <v>134166.78144982722</v>
      </c>
      <c r="V7" s="6">
        <f t="shared" si="11"/>
        <v>0.0084</v>
      </c>
      <c r="W7" s="1">
        <f t="shared" si="12"/>
        <v>1127.0009641785487</v>
      </c>
    </row>
    <row r="8" spans="1:23" ht="12.75">
      <c r="A8" s="9">
        <v>35873554.86366963</v>
      </c>
      <c r="B8" s="9">
        <f t="shared" si="14"/>
        <v>35.873554863669625</v>
      </c>
      <c r="C8" s="9">
        <f t="shared" si="13"/>
        <v>0.035873554863669624</v>
      </c>
      <c r="D8" s="9">
        <f t="shared" si="0"/>
        <v>0.11270009641785489</v>
      </c>
      <c r="E8" s="36">
        <f t="shared" si="1"/>
        <v>1127.0009641785489</v>
      </c>
      <c r="F8" s="6">
        <f t="shared" si="2"/>
        <v>0.0084</v>
      </c>
      <c r="G8" s="6">
        <f t="shared" si="3"/>
        <v>7.1126050015345745</v>
      </c>
      <c r="H8" s="6">
        <f t="shared" si="4"/>
        <v>4.962400000000001</v>
      </c>
      <c r="I8" s="6">
        <v>0.0376</v>
      </c>
      <c r="J8" s="8">
        <f t="shared" si="5"/>
        <v>5.000000000000001</v>
      </c>
      <c r="O8" s="5">
        <v>6</v>
      </c>
      <c r="P8" s="6">
        <v>0.0376</v>
      </c>
      <c r="Q8" s="6">
        <f t="shared" si="6"/>
        <v>5.9624</v>
      </c>
      <c r="R8">
        <f t="shared" si="7"/>
        <v>-2.38496</v>
      </c>
      <c r="S8" s="6">
        <f t="shared" si="8"/>
        <v>7.1126050015345745</v>
      </c>
      <c r="T8" s="6">
        <f t="shared" si="9"/>
        <v>4.727645001534574</v>
      </c>
      <c r="U8">
        <f t="shared" si="10"/>
        <v>53412.75774526017</v>
      </c>
      <c r="V8" s="6">
        <f t="shared" si="11"/>
        <v>0.0084</v>
      </c>
      <c r="W8" s="1">
        <f t="shared" si="12"/>
        <v>448.66716506018537</v>
      </c>
    </row>
    <row r="9" spans="1:23" ht="12.75">
      <c r="A9" s="9">
        <v>14281519.424471164</v>
      </c>
      <c r="B9" s="9">
        <f t="shared" si="14"/>
        <v>14.281519424471163</v>
      </c>
      <c r="C9" s="9">
        <f t="shared" si="13"/>
        <v>0.014281519424471164</v>
      </c>
      <c r="D9" s="9">
        <f t="shared" si="0"/>
        <v>0.04486671650601854</v>
      </c>
      <c r="E9" s="36">
        <f t="shared" si="1"/>
        <v>448.6671650601854</v>
      </c>
      <c r="F9" s="6">
        <f t="shared" si="2"/>
        <v>0.0084</v>
      </c>
      <c r="G9" s="6">
        <f t="shared" si="3"/>
        <v>7.1126050015345745</v>
      </c>
      <c r="H9" s="6">
        <f t="shared" si="4"/>
        <v>5.962399999999999</v>
      </c>
      <c r="I9" s="6">
        <v>0.0376</v>
      </c>
      <c r="J9" s="8">
        <f t="shared" si="5"/>
        <v>5.999999999999999</v>
      </c>
      <c r="O9" s="33">
        <v>6.43</v>
      </c>
      <c r="P9" s="6">
        <v>0.0376</v>
      </c>
      <c r="Q9" s="6">
        <f t="shared" si="6"/>
        <v>6.392399999999999</v>
      </c>
      <c r="R9">
        <f t="shared" si="7"/>
        <v>-2.5569599999999997</v>
      </c>
      <c r="S9" s="6">
        <f t="shared" si="8"/>
        <v>7.1126050015345745</v>
      </c>
      <c r="T9" s="6">
        <f t="shared" si="9"/>
        <v>4.555645001534575</v>
      </c>
      <c r="U9">
        <f t="shared" si="10"/>
        <v>35945.539110329555</v>
      </c>
      <c r="V9" s="6">
        <f t="shared" si="11"/>
        <v>0.0084</v>
      </c>
      <c r="W9" s="1">
        <f t="shared" si="12"/>
        <v>301.9425285267682</v>
      </c>
    </row>
    <row r="10" spans="1:23" ht="12.75">
      <c r="A10" s="9">
        <v>9611129.188940156</v>
      </c>
      <c r="B10" s="9">
        <f t="shared" si="14"/>
        <v>9.611129188940156</v>
      </c>
      <c r="C10" s="9">
        <f t="shared" si="13"/>
        <v>0.009611129188940156</v>
      </c>
      <c r="D10" s="9">
        <f t="shared" si="0"/>
        <v>0.030194252852676823</v>
      </c>
      <c r="E10" s="36">
        <f t="shared" si="1"/>
        <v>301.9425285267682</v>
      </c>
      <c r="F10" s="6">
        <f t="shared" si="2"/>
        <v>0.0084</v>
      </c>
      <c r="G10" s="6">
        <f t="shared" si="3"/>
        <v>7.1126050015345745</v>
      </c>
      <c r="H10" s="6">
        <f t="shared" si="4"/>
        <v>6.3923999999999985</v>
      </c>
      <c r="I10" s="6">
        <v>0.0376</v>
      </c>
      <c r="J10" s="8">
        <f t="shared" si="5"/>
        <v>6.429999999999999</v>
      </c>
      <c r="O10" s="5">
        <v>7</v>
      </c>
      <c r="P10" s="6">
        <v>0.0376</v>
      </c>
      <c r="Q10" s="6">
        <f t="shared" si="6"/>
        <v>6.9624</v>
      </c>
      <c r="R10">
        <f t="shared" si="7"/>
        <v>-2.78496</v>
      </c>
      <c r="S10" s="6">
        <f t="shared" si="8"/>
        <v>7.1126050015345745</v>
      </c>
      <c r="T10" s="6">
        <f t="shared" si="9"/>
        <v>4.327645001534575</v>
      </c>
      <c r="U10">
        <f t="shared" si="10"/>
        <v>21264.001857424926</v>
      </c>
      <c r="V10" s="6">
        <f t="shared" si="11"/>
        <v>0.0084</v>
      </c>
      <c r="W10" s="1">
        <f t="shared" si="12"/>
        <v>178.61761560236937</v>
      </c>
    </row>
    <row r="11" spans="1:23" ht="12.75">
      <c r="A11" s="9">
        <v>5685575.289281027</v>
      </c>
      <c r="B11" s="9">
        <f t="shared" si="14"/>
        <v>5.685575289281027</v>
      </c>
      <c r="C11" s="9">
        <f t="shared" si="13"/>
        <v>0.005685575289281027</v>
      </c>
      <c r="D11" s="9">
        <f t="shared" si="0"/>
        <v>0.017861761560236937</v>
      </c>
      <c r="E11" s="36">
        <f t="shared" si="1"/>
        <v>178.61761560236937</v>
      </c>
      <c r="F11" s="6">
        <f t="shared" si="2"/>
        <v>0.0084</v>
      </c>
      <c r="G11" s="6">
        <f t="shared" si="3"/>
        <v>7.1126050015345745</v>
      </c>
      <c r="H11" s="6">
        <f t="shared" si="4"/>
        <v>6.9624</v>
      </c>
      <c r="I11" s="6">
        <v>0.0376</v>
      </c>
      <c r="J11" s="8">
        <f t="shared" si="5"/>
        <v>7</v>
      </c>
      <c r="O11" s="5">
        <v>8</v>
      </c>
      <c r="P11" s="6">
        <v>0.0376</v>
      </c>
      <c r="Q11" s="6">
        <f t="shared" si="6"/>
        <v>7.9624</v>
      </c>
      <c r="R11">
        <f t="shared" si="7"/>
        <v>-3.18496</v>
      </c>
      <c r="S11" s="6">
        <f t="shared" si="8"/>
        <v>7.1126050015345745</v>
      </c>
      <c r="T11" s="6">
        <f t="shared" si="9"/>
        <v>3.9276450015345747</v>
      </c>
      <c r="U11">
        <f t="shared" si="10"/>
        <v>8465.35161410375</v>
      </c>
      <c r="V11" s="6">
        <f t="shared" si="11"/>
        <v>0.0084</v>
      </c>
      <c r="W11" s="1">
        <f t="shared" si="12"/>
        <v>71.1089535584715</v>
      </c>
    </row>
    <row r="12" spans="1:23" ht="12.75">
      <c r="A12" s="9">
        <v>2263468.291384552</v>
      </c>
      <c r="B12" s="9">
        <f t="shared" si="14"/>
        <v>2.263468291384552</v>
      </c>
      <c r="C12" s="9">
        <f t="shared" si="13"/>
        <v>0.002263468291384552</v>
      </c>
      <c r="D12" s="9">
        <f t="shared" si="0"/>
        <v>0.00711089535584715</v>
      </c>
      <c r="E12" s="36">
        <f t="shared" si="1"/>
        <v>71.1089535584715</v>
      </c>
      <c r="F12" s="6">
        <f t="shared" si="2"/>
        <v>0.0084</v>
      </c>
      <c r="G12" s="6">
        <f t="shared" si="3"/>
        <v>7.1126050015345745</v>
      </c>
      <c r="H12" s="6">
        <f t="shared" si="4"/>
        <v>7.962399999999999</v>
      </c>
      <c r="I12" s="6">
        <v>0.0376</v>
      </c>
      <c r="J12" s="8">
        <f t="shared" si="5"/>
        <v>7.999999999999999</v>
      </c>
      <c r="O12" s="5">
        <v>9</v>
      </c>
      <c r="P12" s="6">
        <v>0.0376</v>
      </c>
      <c r="Q12" s="6">
        <f t="shared" si="6"/>
        <v>8.9624</v>
      </c>
      <c r="R12">
        <f t="shared" si="7"/>
        <v>-3.58496</v>
      </c>
      <c r="S12" s="6">
        <f t="shared" si="8"/>
        <v>7.1126050015345745</v>
      </c>
      <c r="T12" s="6">
        <f t="shared" si="9"/>
        <v>3.5276450015345744</v>
      </c>
      <c r="U12">
        <f t="shared" si="10"/>
        <v>3370.117178831326</v>
      </c>
      <c r="V12" s="6">
        <f t="shared" si="11"/>
        <v>0.0084</v>
      </c>
      <c r="W12" s="1">
        <f t="shared" si="12"/>
        <v>28.308984302183134</v>
      </c>
    </row>
    <row r="13" spans="1:23" ht="12.75">
      <c r="A13" s="9">
        <v>931846.1593331302</v>
      </c>
      <c r="B13" s="9">
        <f t="shared" si="14"/>
        <v>0.9318461593331302</v>
      </c>
      <c r="C13" s="9">
        <f t="shared" si="13"/>
        <v>0.0009318461593331302</v>
      </c>
      <c r="D13" s="9">
        <f t="shared" si="0"/>
        <v>0.0029274810484368257</v>
      </c>
      <c r="E13" s="36">
        <f t="shared" si="1"/>
        <v>29.274810484368256</v>
      </c>
      <c r="F13" s="6">
        <f t="shared" si="2"/>
        <v>0.0084</v>
      </c>
      <c r="G13" s="6">
        <f t="shared" si="3"/>
        <v>7.1126050015345745</v>
      </c>
      <c r="H13" s="6">
        <f t="shared" si="4"/>
        <v>8.925975488311567</v>
      </c>
      <c r="I13" s="6">
        <v>0.0376</v>
      </c>
      <c r="J13" s="8">
        <f t="shared" si="5"/>
        <v>8.963575488311566</v>
      </c>
      <c r="O13" s="5">
        <v>10</v>
      </c>
      <c r="P13" s="6">
        <v>0.0376</v>
      </c>
      <c r="Q13" s="6">
        <f t="shared" si="6"/>
        <v>9.9624</v>
      </c>
      <c r="R13">
        <f t="shared" si="7"/>
        <v>-3.98496</v>
      </c>
      <c r="S13" s="6">
        <f t="shared" si="8"/>
        <v>7.1126050015345745</v>
      </c>
      <c r="T13" s="6">
        <f t="shared" si="9"/>
        <v>3.1276450015345745</v>
      </c>
      <c r="U13">
        <f t="shared" si="10"/>
        <v>1341.6678144982727</v>
      </c>
      <c r="V13" s="6">
        <f t="shared" si="11"/>
        <v>0.0084</v>
      </c>
      <c r="W13" s="1">
        <f t="shared" si="12"/>
        <v>11.27000964178549</v>
      </c>
    </row>
    <row r="14" spans="1:23" ht="12.75">
      <c r="A14" s="9">
        <v>901102.9571206631</v>
      </c>
      <c r="B14" s="9">
        <f t="shared" si="14"/>
        <v>0.9011029571206631</v>
      </c>
      <c r="C14" s="9">
        <f t="shared" si="13"/>
        <v>0.0009011029571206632</v>
      </c>
      <c r="D14" s="9">
        <f t="shared" si="0"/>
        <v>0.0028308984302183138</v>
      </c>
      <c r="E14" s="36">
        <f t="shared" si="1"/>
        <v>28.308984302183138</v>
      </c>
      <c r="F14" s="6">
        <f t="shared" si="2"/>
        <v>0.0084</v>
      </c>
      <c r="G14" s="6">
        <f t="shared" si="3"/>
        <v>7.1126050015345745</v>
      </c>
      <c r="H14" s="6">
        <f t="shared" si="4"/>
        <v>8.962399999999999</v>
      </c>
      <c r="I14" s="6">
        <v>0.0376</v>
      </c>
      <c r="J14" s="8">
        <f t="shared" si="5"/>
        <v>8.999999999999998</v>
      </c>
      <c r="O14" s="5">
        <v>11</v>
      </c>
      <c r="P14" s="6">
        <v>0.0376</v>
      </c>
      <c r="Q14" s="6">
        <f t="shared" si="6"/>
        <v>10.9624</v>
      </c>
      <c r="R14">
        <f t="shared" si="7"/>
        <v>-4.38496</v>
      </c>
      <c r="S14" s="6">
        <f t="shared" si="8"/>
        <v>7.1126050015345745</v>
      </c>
      <c r="T14" s="6">
        <f t="shared" si="9"/>
        <v>2.727645001534574</v>
      </c>
      <c r="U14">
        <f t="shared" si="10"/>
        <v>534.1275774526015</v>
      </c>
      <c r="V14" s="6">
        <f t="shared" si="11"/>
        <v>0.0084</v>
      </c>
      <c r="W14" s="1">
        <f t="shared" si="12"/>
        <v>4.486671650601852</v>
      </c>
    </row>
    <row r="15" spans="1:23" ht="12.75">
      <c r="A15" s="9">
        <v>358735.5486366963</v>
      </c>
      <c r="B15" s="9">
        <f t="shared" si="14"/>
        <v>0.35873554863669627</v>
      </c>
      <c r="C15" s="9">
        <f t="shared" si="13"/>
        <v>0.0003587355486366963</v>
      </c>
      <c r="D15" s="9">
        <f t="shared" si="0"/>
        <v>0.001127000964178549</v>
      </c>
      <c r="E15" s="36">
        <f t="shared" si="1"/>
        <v>11.27000964178549</v>
      </c>
      <c r="F15" s="6">
        <f t="shared" si="2"/>
        <v>0.0084</v>
      </c>
      <c r="G15" s="6">
        <f t="shared" si="3"/>
        <v>7.1126050015345745</v>
      </c>
      <c r="H15" s="6">
        <f t="shared" si="4"/>
        <v>9.962399999999999</v>
      </c>
      <c r="I15" s="6">
        <v>0.0376</v>
      </c>
      <c r="J15" s="8">
        <f t="shared" si="5"/>
        <v>9.999999999999998</v>
      </c>
      <c r="O15" s="5">
        <v>12</v>
      </c>
      <c r="P15" s="6">
        <v>0.0376</v>
      </c>
      <c r="Q15" s="6">
        <f t="shared" si="6"/>
        <v>11.9624</v>
      </c>
      <c r="R15">
        <f t="shared" si="7"/>
        <v>-4.78496</v>
      </c>
      <c r="S15" s="6">
        <f t="shared" si="8"/>
        <v>7.1126050015345745</v>
      </c>
      <c r="T15" s="6">
        <f t="shared" si="9"/>
        <v>2.3276450015345747</v>
      </c>
      <c r="U15">
        <f t="shared" si="10"/>
        <v>212.64001857424938</v>
      </c>
      <c r="V15" s="6">
        <f t="shared" si="11"/>
        <v>0.0084</v>
      </c>
      <c r="W15" s="1">
        <f t="shared" si="12"/>
        <v>1.7861761560236946</v>
      </c>
    </row>
    <row r="16" spans="1:23" ht="12.75">
      <c r="A16" s="9">
        <v>142815.1942447116</v>
      </c>
      <c r="B16" s="9">
        <f t="shared" si="14"/>
        <v>0.1428151942447116</v>
      </c>
      <c r="C16" s="9">
        <f t="shared" si="13"/>
        <v>0.0001428151942447116</v>
      </c>
      <c r="D16" s="9">
        <f t="shared" si="0"/>
        <v>0.0004486671650601852</v>
      </c>
      <c r="E16" s="36">
        <f t="shared" si="1"/>
        <v>4.486671650601853</v>
      </c>
      <c r="F16" s="6">
        <f t="shared" si="2"/>
        <v>0.0084</v>
      </c>
      <c r="G16" s="6">
        <f t="shared" si="3"/>
        <v>7.1126050015345745</v>
      </c>
      <c r="H16" s="6">
        <f t="shared" si="4"/>
        <v>10.962399999999999</v>
      </c>
      <c r="I16" s="6">
        <v>0.0376</v>
      </c>
      <c r="J16" s="8">
        <f t="shared" si="5"/>
        <v>10.999999999999998</v>
      </c>
      <c r="O16" s="5">
        <v>13</v>
      </c>
      <c r="P16" s="6">
        <v>0.0376</v>
      </c>
      <c r="Q16" s="6">
        <f t="shared" si="6"/>
        <v>12.9624</v>
      </c>
      <c r="R16">
        <f t="shared" si="7"/>
        <v>-5.18496</v>
      </c>
      <c r="S16" s="6">
        <f t="shared" si="8"/>
        <v>7.1126050015345745</v>
      </c>
      <c r="T16" s="6">
        <f t="shared" si="9"/>
        <v>1.9276450015345743</v>
      </c>
      <c r="U16">
        <f t="shared" si="10"/>
        <v>84.65351614103739</v>
      </c>
      <c r="V16" s="6">
        <f t="shared" si="11"/>
        <v>0.0084</v>
      </c>
      <c r="W16" s="1">
        <f t="shared" si="12"/>
        <v>0.711089535584714</v>
      </c>
    </row>
    <row r="17" spans="1:23" ht="12.75">
      <c r="A17" s="9">
        <v>56855.752892810306</v>
      </c>
      <c r="B17" s="9">
        <f t="shared" si="14"/>
        <v>0.0568557528928103</v>
      </c>
      <c r="C17" s="9">
        <f t="shared" si="13"/>
        <v>5.68557528928103E-05</v>
      </c>
      <c r="D17" s="9">
        <f t="shared" si="0"/>
        <v>0.00017861761560236948</v>
      </c>
      <c r="E17" s="36">
        <f t="shared" si="1"/>
        <v>1.7861761560236948</v>
      </c>
      <c r="F17" s="6">
        <f t="shared" si="2"/>
        <v>0.0084</v>
      </c>
      <c r="G17" s="6">
        <f t="shared" si="3"/>
        <v>7.1126050015345745</v>
      </c>
      <c r="H17" s="6">
        <f t="shared" si="4"/>
        <v>11.962399999999999</v>
      </c>
      <c r="I17" s="6">
        <v>0.0376</v>
      </c>
      <c r="J17" s="8">
        <f t="shared" si="5"/>
        <v>11.999999999999998</v>
      </c>
      <c r="O17" s="5">
        <v>14</v>
      </c>
      <c r="P17" s="6">
        <v>0.0376</v>
      </c>
      <c r="Q17" s="6">
        <f t="shared" si="6"/>
        <v>13.9624</v>
      </c>
      <c r="R17">
        <f t="shared" si="7"/>
        <v>-5.584960000000001</v>
      </c>
      <c r="S17" s="6">
        <f t="shared" si="8"/>
        <v>7.1126050015345745</v>
      </c>
      <c r="T17" s="6">
        <f t="shared" si="9"/>
        <v>1.527645001534574</v>
      </c>
      <c r="U17">
        <f t="shared" si="10"/>
        <v>33.70117178831318</v>
      </c>
      <c r="V17" s="6">
        <f t="shared" si="11"/>
        <v>0.0084</v>
      </c>
      <c r="W17" s="1">
        <f t="shared" si="12"/>
        <v>0.2830898430218307</v>
      </c>
    </row>
    <row r="18" spans="1:23" ht="12.75">
      <c r="A18" s="9">
        <v>22634.68291384549</v>
      </c>
      <c r="B18" s="9">
        <f t="shared" si="14"/>
        <v>0.02263468291384549</v>
      </c>
      <c r="C18" s="9">
        <f t="shared" si="13"/>
        <v>2.263468291384549E-05</v>
      </c>
      <c r="D18" s="9">
        <f t="shared" si="0"/>
        <v>7.11089535584714E-05</v>
      </c>
      <c r="E18" s="36">
        <f t="shared" si="1"/>
        <v>0.711089535584714</v>
      </c>
      <c r="F18" s="6">
        <f t="shared" si="2"/>
        <v>0.0084</v>
      </c>
      <c r="G18" s="6">
        <f t="shared" si="3"/>
        <v>7.1126050015345745</v>
      </c>
      <c r="H18" s="6">
        <f t="shared" si="4"/>
        <v>12.9624</v>
      </c>
      <c r="I18" s="6">
        <v>0.0376</v>
      </c>
      <c r="J18" s="8">
        <f t="shared" si="5"/>
        <v>13</v>
      </c>
      <c r="O18" s="5">
        <v>15</v>
      </c>
      <c r="P18" s="6">
        <v>0.0376</v>
      </c>
      <c r="Q18" s="6">
        <f t="shared" si="6"/>
        <v>14.9624</v>
      </c>
      <c r="R18">
        <f t="shared" si="7"/>
        <v>-5.98496</v>
      </c>
      <c r="S18" s="6">
        <f t="shared" si="8"/>
        <v>7.1126050015345745</v>
      </c>
      <c r="T18" s="6">
        <f t="shared" si="9"/>
        <v>1.1276450015345745</v>
      </c>
      <c r="U18">
        <f t="shared" si="10"/>
        <v>13.416678144982722</v>
      </c>
      <c r="V18" s="6">
        <f t="shared" si="11"/>
        <v>0.0084</v>
      </c>
      <c r="W18" s="1">
        <f t="shared" si="12"/>
        <v>0.11270009641785486</v>
      </c>
    </row>
    <row r="19" spans="1:23" ht="12.75">
      <c r="A19" s="9">
        <v>9011.02957120661</v>
      </c>
      <c r="B19" s="9">
        <f t="shared" si="14"/>
        <v>0.00901102957120661</v>
      </c>
      <c r="C19" s="9">
        <f t="shared" si="13"/>
        <v>9.01102957120661E-06</v>
      </c>
      <c r="D19" s="9">
        <f t="shared" si="0"/>
        <v>2.8308984302183072E-05</v>
      </c>
      <c r="E19" s="36">
        <f t="shared" si="1"/>
        <v>0.2830898430218307</v>
      </c>
      <c r="F19" s="6">
        <f t="shared" si="2"/>
        <v>0.0084</v>
      </c>
      <c r="G19" s="6">
        <f t="shared" si="3"/>
        <v>7.1126050015345745</v>
      </c>
      <c r="H19" s="6">
        <f t="shared" si="4"/>
        <v>13.962400000000002</v>
      </c>
      <c r="I19" s="6">
        <v>0.0376</v>
      </c>
      <c r="J19" s="8">
        <f t="shared" si="5"/>
        <v>14.000000000000002</v>
      </c>
      <c r="O19" s="5">
        <v>16</v>
      </c>
      <c r="P19" s="6">
        <v>0.0376</v>
      </c>
      <c r="Q19" s="6">
        <f t="shared" si="6"/>
        <v>15.9624</v>
      </c>
      <c r="R19">
        <f t="shared" si="7"/>
        <v>-6.38496</v>
      </c>
      <c r="S19" s="6">
        <f t="shared" si="8"/>
        <v>7.1126050015345745</v>
      </c>
      <c r="T19" s="6">
        <f t="shared" si="9"/>
        <v>0.7276450015345741</v>
      </c>
      <c r="U19">
        <f t="shared" si="10"/>
        <v>5.341275774526011</v>
      </c>
      <c r="V19" s="6">
        <f t="shared" si="11"/>
        <v>0.0084</v>
      </c>
      <c r="W19" s="1">
        <f t="shared" si="12"/>
        <v>0.04486671650601849</v>
      </c>
    </row>
    <row r="20" spans="1:23" ht="12.75">
      <c r="A20" s="9">
        <v>3587.355486366962</v>
      </c>
      <c r="B20" s="9">
        <f t="shared" si="14"/>
        <v>0.003587355486366962</v>
      </c>
      <c r="C20" s="9">
        <f t="shared" si="13"/>
        <v>3.587355486366962E-06</v>
      </c>
      <c r="D20" s="9">
        <f t="shared" si="0"/>
        <v>1.1270009641785487E-05</v>
      </c>
      <c r="E20" s="36">
        <f t="shared" si="1"/>
        <v>0.11270009641785488</v>
      </c>
      <c r="F20" s="6">
        <f t="shared" si="2"/>
        <v>0.0084</v>
      </c>
      <c r="G20" s="6">
        <f t="shared" si="3"/>
        <v>7.1126050015345745</v>
      </c>
      <c r="H20" s="6">
        <f t="shared" si="4"/>
        <v>14.9624</v>
      </c>
      <c r="I20" s="6">
        <v>0.0376</v>
      </c>
      <c r="J20" s="8">
        <f t="shared" si="5"/>
        <v>15</v>
      </c>
      <c r="O20" s="5">
        <v>17</v>
      </c>
      <c r="P20" s="6">
        <v>0.0376</v>
      </c>
      <c r="Q20" s="6">
        <f t="shared" si="6"/>
        <v>16.9624</v>
      </c>
      <c r="R20">
        <f t="shared" si="7"/>
        <v>-6.78496</v>
      </c>
      <c r="S20" s="6">
        <f t="shared" si="8"/>
        <v>7.1126050015345745</v>
      </c>
      <c r="T20" s="6">
        <f t="shared" si="9"/>
        <v>0.32764500153457465</v>
      </c>
      <c r="U20">
        <f t="shared" si="10"/>
        <v>2.126400185742492</v>
      </c>
      <c r="V20" s="6">
        <f t="shared" si="11"/>
        <v>0.0084</v>
      </c>
      <c r="W20" s="1">
        <f t="shared" si="12"/>
        <v>0.01786176156023693</v>
      </c>
    </row>
    <row r="21" spans="1:23" ht="12.75">
      <c r="A21" s="9">
        <v>1500.978304535147</v>
      </c>
      <c r="B21" s="9">
        <f t="shared" si="14"/>
        <v>0.001500978304535147</v>
      </c>
      <c r="C21" s="9">
        <f t="shared" si="13"/>
        <v>1.500978304535147E-06</v>
      </c>
      <c r="D21" s="9">
        <f t="shared" si="0"/>
        <v>4.715462414725281E-06</v>
      </c>
      <c r="E21" s="36">
        <f t="shared" si="1"/>
        <v>0.047154624147252806</v>
      </c>
      <c r="F21" s="6">
        <f t="shared" si="2"/>
        <v>0.0084</v>
      </c>
      <c r="G21" s="6">
        <f t="shared" si="3"/>
        <v>7.1126050015345745</v>
      </c>
      <c r="H21" s="6">
        <f t="shared" si="4"/>
        <v>15.9084</v>
      </c>
      <c r="I21" s="6">
        <v>0.0376</v>
      </c>
      <c r="J21" s="8">
        <f t="shared" si="5"/>
        <v>15.946</v>
      </c>
      <c r="O21" s="5">
        <v>18</v>
      </c>
      <c r="P21" s="6">
        <v>0.0376</v>
      </c>
      <c r="Q21" s="6">
        <f t="shared" si="6"/>
        <v>17.9624</v>
      </c>
      <c r="R21">
        <f t="shared" si="7"/>
        <v>-7.184959999999999</v>
      </c>
      <c r="S21" s="6">
        <f t="shared" si="8"/>
        <v>7.1126050015345745</v>
      </c>
      <c r="T21" s="6">
        <f t="shared" si="9"/>
        <v>-0.07235499846542481</v>
      </c>
      <c r="U21">
        <f t="shared" si="10"/>
        <v>0.8465351614103754</v>
      </c>
      <c r="V21" s="6">
        <f t="shared" si="11"/>
        <v>0.0084</v>
      </c>
      <c r="W21" s="1">
        <f t="shared" si="12"/>
        <v>0.007110895355847153</v>
      </c>
    </row>
    <row r="22" spans="1:23" ht="12.75">
      <c r="A22" s="9">
        <v>1428.1519424471148</v>
      </c>
      <c r="B22" s="9">
        <f t="shared" si="14"/>
        <v>0.0014281519424471148</v>
      </c>
      <c r="C22" s="9">
        <f t="shared" si="13"/>
        <v>1.428151942447115E-06</v>
      </c>
      <c r="D22" s="9">
        <f t="shared" si="0"/>
        <v>4.486671650601849E-06</v>
      </c>
      <c r="E22" s="36">
        <f t="shared" si="1"/>
        <v>0.04486671650601849</v>
      </c>
      <c r="F22" s="6">
        <f t="shared" si="2"/>
        <v>0.0084</v>
      </c>
      <c r="G22" s="6">
        <f t="shared" si="3"/>
        <v>7.1126050015345745</v>
      </c>
      <c r="H22" s="6">
        <f t="shared" si="4"/>
        <v>15.9624</v>
      </c>
      <c r="I22" s="6">
        <v>0.0376</v>
      </c>
      <c r="J22" s="8">
        <f t="shared" si="5"/>
        <v>16</v>
      </c>
      <c r="O22" s="5">
        <v>19</v>
      </c>
      <c r="P22" s="6">
        <v>0.0376</v>
      </c>
      <c r="Q22" s="6">
        <f t="shared" si="6"/>
        <v>18.9624</v>
      </c>
      <c r="R22">
        <f t="shared" si="7"/>
        <v>-7.58496</v>
      </c>
      <c r="S22" s="6">
        <f t="shared" si="8"/>
        <v>7.1126050015345745</v>
      </c>
      <c r="T22" s="6">
        <f t="shared" si="9"/>
        <v>-0.47235499846542517</v>
      </c>
      <c r="U22">
        <f t="shared" si="10"/>
        <v>0.3370117178831324</v>
      </c>
      <c r="V22" s="6">
        <f t="shared" si="11"/>
        <v>0.0084</v>
      </c>
      <c r="W22" s="1">
        <f t="shared" si="12"/>
        <v>0.002830898430218312</v>
      </c>
    </row>
    <row r="23" spans="1:23" ht="12.75">
      <c r="A23" s="9">
        <v>568.5575289281026</v>
      </c>
      <c r="B23" s="9">
        <f t="shared" si="14"/>
        <v>0.0005685575289281025</v>
      </c>
      <c r="C23" s="9">
        <f t="shared" si="13"/>
        <v>5.685575289281025E-07</v>
      </c>
      <c r="D23" s="9">
        <f t="shared" si="0"/>
        <v>1.786176156023693E-06</v>
      </c>
      <c r="E23" s="36">
        <f t="shared" si="1"/>
        <v>0.01786176156023693</v>
      </c>
      <c r="F23" s="6">
        <f t="shared" si="2"/>
        <v>0.0084</v>
      </c>
      <c r="G23" s="6">
        <f t="shared" si="3"/>
        <v>7.1126050015345745</v>
      </c>
      <c r="H23" s="6">
        <f t="shared" si="4"/>
        <v>16.9624</v>
      </c>
      <c r="I23" s="6">
        <v>0.0376</v>
      </c>
      <c r="J23" s="8">
        <f t="shared" si="5"/>
        <v>17</v>
      </c>
      <c r="O23" s="5">
        <v>20</v>
      </c>
      <c r="P23" s="6">
        <v>0.0376</v>
      </c>
      <c r="Q23" s="6">
        <f t="shared" si="6"/>
        <v>19.9624</v>
      </c>
      <c r="R23">
        <f t="shared" si="7"/>
        <v>-7.984959999999999</v>
      </c>
      <c r="S23" s="6">
        <f t="shared" si="8"/>
        <v>7.1126050015345745</v>
      </c>
      <c r="T23" s="6">
        <f t="shared" si="9"/>
        <v>-0.8723549984654246</v>
      </c>
      <c r="U23">
        <f t="shared" si="10"/>
        <v>0.13416678144982747</v>
      </c>
      <c r="V23" s="6">
        <f t="shared" si="11"/>
        <v>0.0084</v>
      </c>
      <c r="W23" s="1">
        <f t="shared" si="12"/>
        <v>0.0011270009641785505</v>
      </c>
    </row>
    <row r="24" spans="1:23" ht="12.75">
      <c r="A24" s="9">
        <v>226.34682913845532</v>
      </c>
      <c r="B24" s="9">
        <f t="shared" si="14"/>
        <v>0.0002263468291384553</v>
      </c>
      <c r="C24" s="9">
        <f t="shared" si="13"/>
        <v>2.2634682913845531E-07</v>
      </c>
      <c r="D24" s="9">
        <f t="shared" si="0"/>
        <v>7.110895355847153E-07</v>
      </c>
      <c r="E24" s="36">
        <f t="shared" si="1"/>
        <v>0.007110895355847153</v>
      </c>
      <c r="F24" s="6">
        <f t="shared" si="2"/>
        <v>0.0084</v>
      </c>
      <c r="G24" s="6">
        <f t="shared" si="3"/>
        <v>7.1126050015345745</v>
      </c>
      <c r="H24" s="6">
        <f t="shared" si="4"/>
        <v>17.9624</v>
      </c>
      <c r="I24" s="6">
        <v>0.0376</v>
      </c>
      <c r="J24" s="8">
        <f t="shared" si="5"/>
        <v>18</v>
      </c>
      <c r="O24" s="5">
        <v>21</v>
      </c>
      <c r="P24" s="6">
        <v>0.0376</v>
      </c>
      <c r="Q24" s="6">
        <f t="shared" si="6"/>
        <v>20.9624</v>
      </c>
      <c r="R24">
        <f t="shared" si="7"/>
        <v>-8.38496</v>
      </c>
      <c r="S24" s="6">
        <f t="shared" si="8"/>
        <v>7.1126050015345745</v>
      </c>
      <c r="T24" s="6">
        <f t="shared" si="9"/>
        <v>-1.272354998465425</v>
      </c>
      <c r="U24">
        <f t="shared" si="10"/>
        <v>0.0534127577452602</v>
      </c>
      <c r="V24" s="6">
        <f t="shared" si="11"/>
        <v>0.0084</v>
      </c>
      <c r="W24" s="1">
        <f t="shared" si="12"/>
        <v>0.00044866716506018566</v>
      </c>
    </row>
    <row r="25" spans="1:23" ht="12.75">
      <c r="A25" s="9">
        <v>90.11029571206626</v>
      </c>
      <c r="B25" s="9">
        <f t="shared" si="14"/>
        <v>9.011029571206626E-05</v>
      </c>
      <c r="C25" s="9">
        <f t="shared" si="13"/>
        <v>9.011029571206626E-08</v>
      </c>
      <c r="D25" s="9">
        <f t="shared" si="0"/>
        <v>2.830898430218312E-07</v>
      </c>
      <c r="E25" s="36">
        <f t="shared" si="1"/>
        <v>0.002830898430218312</v>
      </c>
      <c r="F25" s="6">
        <f t="shared" si="2"/>
        <v>0.0084</v>
      </c>
      <c r="G25" s="6">
        <f t="shared" si="3"/>
        <v>7.1126050015345745</v>
      </c>
      <c r="H25" s="6">
        <f t="shared" si="4"/>
        <v>18.9624</v>
      </c>
      <c r="I25" s="6">
        <v>0.0376</v>
      </c>
      <c r="J25" s="8">
        <f t="shared" si="5"/>
        <v>19</v>
      </c>
      <c r="O25" s="5">
        <v>22</v>
      </c>
      <c r="P25" s="6">
        <v>0.0376</v>
      </c>
      <c r="Q25" s="6">
        <f t="shared" si="6"/>
        <v>21.9624</v>
      </c>
      <c r="R25">
        <f t="shared" si="7"/>
        <v>-8.78496</v>
      </c>
      <c r="S25" s="6">
        <f t="shared" si="8"/>
        <v>7.1126050015345745</v>
      </c>
      <c r="T25" s="6">
        <f t="shared" si="9"/>
        <v>-1.6723549984654253</v>
      </c>
      <c r="U25">
        <f t="shared" si="10"/>
        <v>0.02126400185742491</v>
      </c>
      <c r="V25" s="6">
        <f t="shared" si="11"/>
        <v>0.0084</v>
      </c>
      <c r="W25" s="1">
        <f t="shared" si="12"/>
        <v>0.00017861761560236924</v>
      </c>
    </row>
    <row r="26" spans="1:23" ht="12.75">
      <c r="A26" s="9">
        <v>35.87355486366968</v>
      </c>
      <c r="B26" s="9">
        <f t="shared" si="14"/>
        <v>3.587355486366968E-05</v>
      </c>
      <c r="C26" s="9">
        <f t="shared" si="13"/>
        <v>3.587355486366968E-08</v>
      </c>
      <c r="D26" s="9">
        <f t="shared" si="0"/>
        <v>1.1270009641785505E-07</v>
      </c>
      <c r="E26" s="36">
        <f t="shared" si="1"/>
        <v>0.0011270009641785505</v>
      </c>
      <c r="F26" s="6">
        <f t="shared" si="2"/>
        <v>0.0084</v>
      </c>
      <c r="G26" s="6">
        <f t="shared" si="3"/>
        <v>7.1126050015345745</v>
      </c>
      <c r="H26" s="6">
        <f t="shared" si="4"/>
        <v>19.9624</v>
      </c>
      <c r="I26" s="6">
        <v>0.0376</v>
      </c>
      <c r="J26" s="8">
        <f t="shared" si="5"/>
        <v>20</v>
      </c>
      <c r="O26" s="5">
        <v>23</v>
      </c>
      <c r="P26" s="6">
        <v>0.0376</v>
      </c>
      <c r="Q26" s="6">
        <f t="shared" si="6"/>
        <v>22.9624</v>
      </c>
      <c r="R26">
        <f t="shared" si="7"/>
        <v>-9.18496</v>
      </c>
      <c r="S26" s="6">
        <f t="shared" si="8"/>
        <v>7.1126050015345745</v>
      </c>
      <c r="T26" s="6">
        <f t="shared" si="9"/>
        <v>-2.0723549984654257</v>
      </c>
      <c r="U26">
        <f t="shared" si="10"/>
        <v>0.00846535161410373</v>
      </c>
      <c r="V26" s="6">
        <f t="shared" si="11"/>
        <v>0.0084</v>
      </c>
      <c r="W26" s="1">
        <f t="shared" si="12"/>
        <v>7.110895355847133E-05</v>
      </c>
    </row>
    <row r="27" spans="1:23" ht="12.75">
      <c r="A27" s="9">
        <v>14.281519424471174</v>
      </c>
      <c r="B27" s="9">
        <f t="shared" si="14"/>
        <v>1.4281519424471174E-05</v>
      </c>
      <c r="C27" s="9">
        <f t="shared" si="13"/>
        <v>1.4281519424471175E-08</v>
      </c>
      <c r="D27" s="9">
        <f t="shared" si="0"/>
        <v>4.486671650601857E-08</v>
      </c>
      <c r="E27" s="36">
        <f t="shared" si="1"/>
        <v>0.0004486671650601857</v>
      </c>
      <c r="F27" s="6">
        <f t="shared" si="2"/>
        <v>0.0084</v>
      </c>
      <c r="G27" s="6">
        <f t="shared" si="3"/>
        <v>7.1126050015345745</v>
      </c>
      <c r="H27" s="6">
        <f t="shared" si="4"/>
        <v>20.9624</v>
      </c>
      <c r="I27" s="6">
        <v>0.0376</v>
      </c>
      <c r="J27" s="8">
        <f t="shared" si="5"/>
        <v>21</v>
      </c>
      <c r="O27" s="5">
        <v>24</v>
      </c>
      <c r="P27" s="6">
        <v>0.0376</v>
      </c>
      <c r="Q27" s="6">
        <f t="shared" si="6"/>
        <v>23.9624</v>
      </c>
      <c r="R27">
        <f t="shared" si="7"/>
        <v>-9.584959999999999</v>
      </c>
      <c r="S27" s="6">
        <f t="shared" si="8"/>
        <v>7.1126050015345745</v>
      </c>
      <c r="T27" s="6">
        <f t="shared" si="9"/>
        <v>-2.4723549984654243</v>
      </c>
      <c r="U27">
        <f t="shared" si="10"/>
        <v>0.00337011717883133</v>
      </c>
      <c r="V27" s="6">
        <f t="shared" si="11"/>
        <v>0.0084</v>
      </c>
      <c r="W27" s="1">
        <f t="shared" si="12"/>
        <v>2.830898430218317E-05</v>
      </c>
    </row>
    <row r="28" spans="1:23" ht="12.75">
      <c r="A28" s="9">
        <v>5.685575289281023</v>
      </c>
      <c r="B28" s="9">
        <f t="shared" si="14"/>
        <v>5.6855752892810225E-06</v>
      </c>
      <c r="C28" s="9">
        <f t="shared" si="13"/>
        <v>5.685575289281023E-09</v>
      </c>
      <c r="D28" s="9">
        <f t="shared" si="0"/>
        <v>1.7861761560236923E-08</v>
      </c>
      <c r="E28" s="36">
        <f t="shared" si="1"/>
        <v>0.00017861761560236924</v>
      </c>
      <c r="F28" s="6">
        <f t="shared" si="2"/>
        <v>0.0084</v>
      </c>
      <c r="G28" s="6">
        <f t="shared" si="3"/>
        <v>7.1126050015345745</v>
      </c>
      <c r="H28" s="6">
        <f t="shared" si="4"/>
        <v>21.9624</v>
      </c>
      <c r="I28" s="6">
        <v>0.0376</v>
      </c>
      <c r="J28" s="8">
        <f t="shared" si="5"/>
        <v>22</v>
      </c>
      <c r="O28" s="5">
        <v>25</v>
      </c>
      <c r="P28" s="6">
        <v>0.0376</v>
      </c>
      <c r="Q28" s="6">
        <f t="shared" si="6"/>
        <v>24.9624</v>
      </c>
      <c r="R28">
        <f t="shared" si="7"/>
        <v>-9.98496</v>
      </c>
      <c r="S28" s="6">
        <f t="shared" si="8"/>
        <v>7.1126050015345745</v>
      </c>
      <c r="T28" s="6">
        <f t="shared" si="9"/>
        <v>-2.8723549984654246</v>
      </c>
      <c r="U28">
        <f t="shared" si="10"/>
        <v>0.0013416678144982735</v>
      </c>
      <c r="V28" s="6">
        <f t="shared" si="11"/>
        <v>0.0084</v>
      </c>
      <c r="W28" s="1">
        <f t="shared" si="12"/>
        <v>1.1270009641785497E-05</v>
      </c>
    </row>
    <row r="29" spans="1:23" ht="12.75">
      <c r="A29" s="9">
        <v>2.2634682913845467</v>
      </c>
      <c r="B29" s="9">
        <f t="shared" si="14"/>
        <v>2.2634682913845465E-06</v>
      </c>
      <c r="C29" s="9">
        <f t="shared" si="13"/>
        <v>2.2634682913845464E-09</v>
      </c>
      <c r="D29" s="9">
        <f t="shared" si="0"/>
        <v>7.110895355847132E-09</v>
      </c>
      <c r="E29" s="36">
        <f t="shared" si="1"/>
        <v>7.110895355847132E-05</v>
      </c>
      <c r="F29" s="6">
        <f t="shared" si="2"/>
        <v>0.0084</v>
      </c>
      <c r="G29" s="6">
        <f t="shared" si="3"/>
        <v>7.1126050015345745</v>
      </c>
      <c r="H29" s="6">
        <f t="shared" si="4"/>
        <v>22.962400000000002</v>
      </c>
      <c r="I29" s="6">
        <v>0.0376</v>
      </c>
      <c r="J29" s="8">
        <f t="shared" si="5"/>
        <v>23.000000000000004</v>
      </c>
      <c r="O29" s="5">
        <v>26</v>
      </c>
      <c r="P29" s="6">
        <v>0.0376</v>
      </c>
      <c r="Q29" s="6">
        <f t="shared" si="6"/>
        <v>25.9624</v>
      </c>
      <c r="R29">
        <f t="shared" si="7"/>
        <v>-10.38496</v>
      </c>
      <c r="S29" s="6">
        <f t="shared" si="8"/>
        <v>7.1126050015345745</v>
      </c>
      <c r="T29" s="6">
        <f t="shared" si="9"/>
        <v>-3.272354998465425</v>
      </c>
      <c r="U29">
        <f t="shared" si="10"/>
        <v>0.0005341275774526017</v>
      </c>
      <c r="V29" s="6">
        <f t="shared" si="11"/>
        <v>0.0084</v>
      </c>
      <c r="W29" s="1">
        <f t="shared" si="12"/>
        <v>4.486671650601854E-06</v>
      </c>
    </row>
    <row r="30" spans="1:23" ht="12.75">
      <c r="A30" s="9">
        <v>0.9011029571206642</v>
      </c>
      <c r="B30" s="9">
        <f t="shared" si="14"/>
        <v>9.011029571206642E-07</v>
      </c>
      <c r="C30" s="9">
        <f t="shared" si="13"/>
        <v>9.011029571206642E-10</v>
      </c>
      <c r="D30" s="9">
        <f t="shared" si="0"/>
        <v>2.830898430218317E-09</v>
      </c>
      <c r="E30" s="36">
        <f t="shared" si="1"/>
        <v>2.830898430218317E-05</v>
      </c>
      <c r="F30" s="6">
        <f t="shared" si="2"/>
        <v>0.0084</v>
      </c>
      <c r="G30" s="6">
        <f t="shared" si="3"/>
        <v>7.1126050015345745</v>
      </c>
      <c r="H30" s="6">
        <f t="shared" si="4"/>
        <v>23.962399999999995</v>
      </c>
      <c r="I30" s="6">
        <v>0.0376</v>
      </c>
      <c r="J30" s="8">
        <f t="shared" si="5"/>
        <v>23.999999999999996</v>
      </c>
      <c r="O30" s="5">
        <v>27</v>
      </c>
      <c r="P30" s="6">
        <v>0.0376</v>
      </c>
      <c r="Q30" s="6">
        <f t="shared" si="6"/>
        <v>26.9624</v>
      </c>
      <c r="R30">
        <f t="shared" si="7"/>
        <v>-10.78496</v>
      </c>
      <c r="S30" s="6">
        <f t="shared" si="8"/>
        <v>7.1126050015345745</v>
      </c>
      <c r="T30" s="6">
        <f t="shared" si="9"/>
        <v>-3.6723549984654253</v>
      </c>
      <c r="U30">
        <f t="shared" si="10"/>
        <v>0.00021264001857424888</v>
      </c>
      <c r="V30" s="6">
        <f t="shared" si="11"/>
        <v>0.0084</v>
      </c>
      <c r="W30" s="1">
        <f t="shared" si="12"/>
        <v>1.7861761560236905E-06</v>
      </c>
    </row>
    <row r="31" spans="1:22" ht="12.75">
      <c r="A31" s="9">
        <v>0.3587355486366965</v>
      </c>
      <c r="B31" s="9">
        <f t="shared" si="14"/>
        <v>3.5873554863669645E-07</v>
      </c>
      <c r="C31" s="9">
        <f t="shared" si="13"/>
        <v>3.5873554863669646E-10</v>
      </c>
      <c r="D31" s="9">
        <f t="shared" si="0"/>
        <v>1.1270009641785495E-09</v>
      </c>
      <c r="E31" s="36">
        <f t="shared" si="1"/>
        <v>1.1270009641785495E-05</v>
      </c>
      <c r="F31" s="6">
        <f t="shared" si="2"/>
        <v>0.0084</v>
      </c>
      <c r="G31" s="6">
        <f t="shared" si="3"/>
        <v>7.1126050015345745</v>
      </c>
      <c r="H31" s="6">
        <f>-2.5*(LOG(E31/F31)-G31)</f>
        <v>24.9624</v>
      </c>
      <c r="I31" s="6">
        <v>0.0376</v>
      </c>
      <c r="J31" s="8">
        <f>+H31+I31</f>
        <v>25</v>
      </c>
      <c r="P31" s="6"/>
      <c r="Q31" s="6"/>
      <c r="S31" s="6"/>
      <c r="T31" s="6"/>
      <c r="V31" s="6"/>
    </row>
    <row r="32" spans="1:22" ht="12.75">
      <c r="A32" s="9">
        <v>0.14281519424471165</v>
      </c>
      <c r="B32" s="9">
        <f t="shared" si="14"/>
        <v>1.4281519424471164E-07</v>
      </c>
      <c r="C32" s="9">
        <f t="shared" si="13"/>
        <v>1.4281519424471165E-10</v>
      </c>
      <c r="D32" s="9">
        <f t="shared" si="0"/>
        <v>4.486671650601854E-10</v>
      </c>
      <c r="E32" s="36">
        <f t="shared" si="1"/>
        <v>4.486671650601854E-06</v>
      </c>
      <c r="F32" s="6">
        <f t="shared" si="2"/>
        <v>0.0084</v>
      </c>
      <c r="G32" s="6">
        <f t="shared" si="3"/>
        <v>7.1126050015345745</v>
      </c>
      <c r="H32" s="6">
        <f>-2.5*(LOG(E32/F32)-G32)</f>
        <v>25.9624</v>
      </c>
      <c r="I32" s="6">
        <v>0.0376</v>
      </c>
      <c r="J32" s="8">
        <f>+H32+I32</f>
        <v>26</v>
      </c>
      <c r="P32" s="6"/>
      <c r="Q32" s="6"/>
      <c r="S32" s="6"/>
      <c r="T32" s="6"/>
      <c r="V32" s="6"/>
    </row>
    <row r="33" spans="1:22" ht="12.75">
      <c r="A33" s="9">
        <v>0.05685575289281017</v>
      </c>
      <c r="B33" s="9">
        <f t="shared" si="14"/>
        <v>5.6855752892810165E-08</v>
      </c>
      <c r="C33" s="9">
        <f t="shared" si="13"/>
        <v>5.6855752892810164E-11</v>
      </c>
      <c r="D33" s="9">
        <f t="shared" si="0"/>
        <v>1.7861761560236905E-10</v>
      </c>
      <c r="E33" s="36">
        <f t="shared" si="1"/>
        <v>1.7861761560236905E-06</v>
      </c>
      <c r="F33" s="6">
        <f t="shared" si="2"/>
        <v>0.0084</v>
      </c>
      <c r="G33" s="6">
        <f t="shared" si="3"/>
        <v>7.1126050015345745</v>
      </c>
      <c r="H33" s="6">
        <f>-2.5*(LOG(E33/F33)-G33)</f>
        <v>26.9624</v>
      </c>
      <c r="I33" s="6">
        <v>0.0376</v>
      </c>
      <c r="J33" s="8">
        <f>+H33+I33</f>
        <v>27</v>
      </c>
      <c r="P33" s="6"/>
      <c r="Q33" s="6"/>
      <c r="S33" s="6"/>
      <c r="T33" s="6"/>
      <c r="V33" s="6"/>
    </row>
    <row r="34" spans="6:22" ht="12.75">
      <c r="F34" s="6"/>
      <c r="G34" s="6"/>
      <c r="S34" s="6"/>
      <c r="T34" s="6"/>
      <c r="V34" s="6"/>
    </row>
    <row r="35" spans="6:22" ht="12.75">
      <c r="F35" s="6"/>
      <c r="G35" s="6"/>
      <c r="S35" s="6"/>
      <c r="T35" s="6"/>
      <c r="V35" s="6"/>
    </row>
    <row r="36" spans="6:22" ht="12.75">
      <c r="F36" s="6"/>
      <c r="G36" s="6"/>
      <c r="S36" s="6"/>
      <c r="T36" s="6"/>
      <c r="V36" s="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0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4" t="s">
        <v>134</v>
      </c>
    </row>
    <row r="2" spans="1:5" ht="12.75">
      <c r="A2" s="4" t="s">
        <v>135</v>
      </c>
      <c r="C2" s="4" t="s">
        <v>136</v>
      </c>
      <c r="D2" s="4"/>
      <c r="E2" s="4" t="s">
        <v>137</v>
      </c>
    </row>
    <row r="3" spans="1:7" ht="12.75">
      <c r="A3" s="4" t="s">
        <v>172</v>
      </c>
      <c r="B3" s="4" t="s">
        <v>173</v>
      </c>
      <c r="C3" s="24" t="s">
        <v>150</v>
      </c>
      <c r="D3" s="4" t="s">
        <v>151</v>
      </c>
      <c r="E3" s="4" t="s">
        <v>161</v>
      </c>
      <c r="G3" s="4" t="s">
        <v>157</v>
      </c>
    </row>
    <row r="4" spans="1:7" ht="12.75">
      <c r="A4" s="6">
        <v>1000</v>
      </c>
      <c r="B4" s="6">
        <v>6.91427593943014E-06</v>
      </c>
      <c r="C4" s="6"/>
      <c r="D4" s="6">
        <v>21.986</v>
      </c>
      <c r="E4" s="8">
        <f aca="true" t="shared" si="0" ref="E4:E19">-2.5*(LOG(A4/B4))+D4</f>
        <v>1.5853667691486422</v>
      </c>
      <c r="G4" t="s">
        <v>152</v>
      </c>
    </row>
    <row r="5" spans="1:7" ht="12.75">
      <c r="A5" s="6">
        <v>180</v>
      </c>
      <c r="B5" s="6">
        <v>6.91427593943014E-06</v>
      </c>
      <c r="C5" s="6"/>
      <c r="D5" s="6">
        <v>21.986</v>
      </c>
      <c r="E5" s="8">
        <f t="shared" si="0"/>
        <v>3.447185506390376</v>
      </c>
      <c r="G5" t="s">
        <v>59</v>
      </c>
    </row>
    <row r="6" spans="1:7" ht="12.75">
      <c r="A6" s="6">
        <v>120</v>
      </c>
      <c r="B6" s="6">
        <v>6.91427593943014E-06</v>
      </c>
      <c r="C6" s="6"/>
      <c r="D6" s="6">
        <v>21.986</v>
      </c>
      <c r="E6" s="8">
        <f t="shared" si="0"/>
        <v>3.8874136540295794</v>
      </c>
      <c r="G6" t="s">
        <v>162</v>
      </c>
    </row>
    <row r="7" spans="1:7" ht="12.75">
      <c r="A7" s="6">
        <v>70</v>
      </c>
      <c r="B7" s="6">
        <v>6.91427593943014E-06</v>
      </c>
      <c r="C7" s="6"/>
      <c r="D7" s="6">
        <v>21.986</v>
      </c>
      <c r="E7" s="8">
        <f t="shared" si="0"/>
        <v>4.472621669113</v>
      </c>
      <c r="G7" t="s">
        <v>58</v>
      </c>
    </row>
    <row r="8" spans="1:7" ht="12.75">
      <c r="A8" s="6">
        <v>32</v>
      </c>
      <c r="B8" s="6">
        <v>6.91427593943014E-06</v>
      </c>
      <c r="C8" s="6"/>
      <c r="D8" s="6">
        <v>21.986</v>
      </c>
      <c r="E8" s="8">
        <f t="shared" si="0"/>
        <v>5.3224918233488765</v>
      </c>
      <c r="G8" t="s">
        <v>159</v>
      </c>
    </row>
    <row r="9" spans="1:7" ht="12.75">
      <c r="A9" s="6">
        <v>16</v>
      </c>
      <c r="B9" s="6">
        <v>6.91427593943014E-06</v>
      </c>
      <c r="C9" s="6"/>
      <c r="D9" s="6">
        <v>21.986</v>
      </c>
      <c r="E9" s="8">
        <f t="shared" si="0"/>
        <v>6.07506681250883</v>
      </c>
      <c r="G9" t="s">
        <v>54</v>
      </c>
    </row>
    <row r="10" spans="1:7" ht="12.75">
      <c r="A10" s="6">
        <v>8</v>
      </c>
      <c r="B10" s="6">
        <v>6.91427593943014E-06</v>
      </c>
      <c r="C10" s="6"/>
      <c r="D10" s="6">
        <v>21.986</v>
      </c>
      <c r="E10" s="8">
        <f t="shared" si="0"/>
        <v>6.827641801668783</v>
      </c>
      <c r="G10" t="s">
        <v>160</v>
      </c>
    </row>
    <row r="11" spans="1:7" ht="12.75">
      <c r="A11" s="6">
        <v>0.93</v>
      </c>
      <c r="B11" s="6">
        <v>6.91427593943014E-06</v>
      </c>
      <c r="C11" s="6"/>
      <c r="D11" s="6">
        <v>21.986</v>
      </c>
      <c r="E11" s="8">
        <f t="shared" si="0"/>
        <v>9.164159397763802</v>
      </c>
      <c r="G11" t="s">
        <v>153</v>
      </c>
    </row>
    <row r="12" spans="1:7" ht="12.75">
      <c r="A12" s="6">
        <v>0.46</v>
      </c>
      <c r="B12" s="6">
        <v>6.91427593943014E-06</v>
      </c>
      <c r="C12" s="6"/>
      <c r="D12" s="6">
        <v>21.986</v>
      </c>
      <c r="E12" s="8">
        <f t="shared" si="0"/>
        <v>9.928472189944706</v>
      </c>
      <c r="G12" t="s">
        <v>81</v>
      </c>
    </row>
    <row r="13" spans="1:7" ht="12.75">
      <c r="A13" s="6">
        <v>0.3</v>
      </c>
      <c r="B13" s="6">
        <v>6.91427593943014E-06</v>
      </c>
      <c r="C13" s="6"/>
      <c r="D13" s="6">
        <v>21.986</v>
      </c>
      <c r="E13" s="8">
        <f t="shared" si="0"/>
        <v>10.392563632349486</v>
      </c>
      <c r="G13" t="s">
        <v>83</v>
      </c>
    </row>
    <row r="14" spans="1:7" ht="12.75">
      <c r="A14" s="6">
        <v>0.04</v>
      </c>
      <c r="B14" s="6">
        <v>6.91427593943014E-06</v>
      </c>
      <c r="C14" s="6"/>
      <c r="D14" s="6">
        <v>21.986</v>
      </c>
      <c r="E14" s="8">
        <f t="shared" si="0"/>
        <v>12.580216790828736</v>
      </c>
      <c r="G14" t="s">
        <v>307</v>
      </c>
    </row>
    <row r="15" spans="1:7" ht="12.75">
      <c r="A15" s="6">
        <v>0.016</v>
      </c>
      <c r="B15" s="6">
        <v>6.91427593943014E-06</v>
      </c>
      <c r="C15" s="6"/>
      <c r="D15" s="6">
        <v>21.986</v>
      </c>
      <c r="E15" s="8">
        <f t="shared" si="0"/>
        <v>13.57506681250883</v>
      </c>
      <c r="G15" t="s">
        <v>158</v>
      </c>
    </row>
    <row r="16" spans="1:7" ht="12.75">
      <c r="A16" s="6">
        <v>0.002</v>
      </c>
      <c r="B16" s="6">
        <v>6.91427593943014E-06</v>
      </c>
      <c r="C16" s="6"/>
      <c r="D16" s="6">
        <v>21.986</v>
      </c>
      <c r="E16" s="8">
        <f t="shared" si="0"/>
        <v>15.832791779988689</v>
      </c>
      <c r="G16" t="s">
        <v>308</v>
      </c>
    </row>
    <row r="17" spans="1:7" ht="12.75">
      <c r="A17" s="6">
        <v>0.0016</v>
      </c>
      <c r="B17" s="6">
        <v>6.91427593943014E-06</v>
      </c>
      <c r="C17" s="6"/>
      <c r="D17" s="6">
        <v>21.986</v>
      </c>
      <c r="E17" s="8">
        <f t="shared" si="0"/>
        <v>16.07506681250883</v>
      </c>
      <c r="G17" t="s">
        <v>154</v>
      </c>
    </row>
    <row r="18" spans="1:7" ht="12.75">
      <c r="A18" s="6">
        <v>0.00025</v>
      </c>
      <c r="B18" s="6">
        <v>6.91427593943014E-06</v>
      </c>
      <c r="C18" s="6"/>
      <c r="D18" s="6">
        <v>21.986</v>
      </c>
      <c r="E18" s="8">
        <f t="shared" si="0"/>
        <v>18.09051674746855</v>
      </c>
      <c r="G18" t="s">
        <v>155</v>
      </c>
    </row>
    <row r="19" spans="1:7" ht="12.75">
      <c r="A19" s="6">
        <v>6.91427593943014E-06</v>
      </c>
      <c r="B19" s="6">
        <v>6.91427593943014E-06</v>
      </c>
      <c r="C19" s="6"/>
      <c r="D19" s="6">
        <v>21.986</v>
      </c>
      <c r="E19" s="8">
        <f t="shared" si="0"/>
        <v>21.986</v>
      </c>
      <c r="G19" t="s">
        <v>94</v>
      </c>
    </row>
    <row r="20" spans="1:7" ht="12.75">
      <c r="A20" s="39">
        <v>7E-08</v>
      </c>
      <c r="B20" s="6">
        <v>6.91427593943014E-06</v>
      </c>
      <c r="C20" s="6"/>
      <c r="D20" s="6">
        <v>21.986</v>
      </c>
      <c r="E20" s="8">
        <f>-2.5*(LOG(A20/B20))+D20</f>
        <v>26.972621669112996</v>
      </c>
      <c r="G20" t="s">
        <v>306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7"/>
  <dimension ref="A1:G112"/>
  <sheetViews>
    <sheetView workbookViewId="0" topLeftCell="A1">
      <pane ySplit="1275" topLeftCell="BM33" activePane="bottomLeft" state="split"/>
      <selection pane="topLeft" activeCell="A1" sqref="A1"/>
      <selection pane="bottomLeft" activeCell="A60" sqref="A60"/>
    </sheetView>
  </sheetViews>
  <sheetFormatPr defaultColWidth="9.140625" defaultRowHeight="12.75"/>
  <cols>
    <col min="1" max="1" width="54.00390625" style="0" customWidth="1"/>
    <col min="2" max="2" width="8.140625" style="8" customWidth="1"/>
    <col min="3" max="3" width="12.00390625" style="6" customWidth="1"/>
    <col min="4" max="6" width="9.140625" style="6" customWidth="1"/>
  </cols>
  <sheetData>
    <row r="1" spans="1:2" ht="12.75">
      <c r="A1" s="4" t="s">
        <v>26</v>
      </c>
      <c r="B1" s="14"/>
    </row>
    <row r="2" spans="1:2" ht="12.75">
      <c r="A2" s="4"/>
      <c r="B2" s="14"/>
    </row>
    <row r="4" spans="1:7" ht="12.75">
      <c r="A4" s="16" t="s">
        <v>46</v>
      </c>
      <c r="B4" s="16"/>
      <c r="C4" s="16" t="s">
        <v>47</v>
      </c>
      <c r="D4" s="16" t="s">
        <v>48</v>
      </c>
      <c r="E4" s="16" t="s">
        <v>49</v>
      </c>
      <c r="F4" s="16" t="s">
        <v>50</v>
      </c>
      <c r="G4" s="16" t="s">
        <v>27</v>
      </c>
    </row>
    <row r="5" spans="1:7" ht="12.75">
      <c r="A5" s="17" t="s">
        <v>51</v>
      </c>
      <c r="B5" s="18"/>
      <c r="C5" s="6">
        <v>6.7</v>
      </c>
      <c r="D5" s="6">
        <v>8</v>
      </c>
      <c r="G5" t="s">
        <v>52</v>
      </c>
    </row>
    <row r="6" spans="1:7" ht="12.75">
      <c r="A6" s="17" t="s">
        <v>51</v>
      </c>
      <c r="B6" s="18"/>
      <c r="D6" s="6">
        <v>10</v>
      </c>
      <c r="G6" t="s">
        <v>53</v>
      </c>
    </row>
    <row r="7" spans="1:7" ht="12.75">
      <c r="A7" t="s">
        <v>54</v>
      </c>
      <c r="B7" s="18"/>
      <c r="C7" s="6">
        <v>5.9</v>
      </c>
      <c r="D7" s="6">
        <v>16</v>
      </c>
      <c r="G7" t="s">
        <v>52</v>
      </c>
    </row>
    <row r="8" spans="1:7" ht="12.75">
      <c r="A8" t="s">
        <v>55</v>
      </c>
      <c r="B8" s="18"/>
      <c r="D8" s="6">
        <v>20</v>
      </c>
      <c r="G8" t="s">
        <v>53</v>
      </c>
    </row>
    <row r="9" spans="1:7" ht="12.75">
      <c r="A9" t="s">
        <v>56</v>
      </c>
      <c r="B9" s="18"/>
      <c r="C9" s="6">
        <v>5.2</v>
      </c>
      <c r="D9" s="6">
        <v>32</v>
      </c>
      <c r="G9" t="s">
        <v>52</v>
      </c>
    </row>
    <row r="10" spans="1:7" ht="12.75">
      <c r="A10" t="s">
        <v>57</v>
      </c>
      <c r="B10" s="18"/>
      <c r="D10" s="6">
        <v>40</v>
      </c>
      <c r="G10" t="s">
        <v>53</v>
      </c>
    </row>
    <row r="11" spans="1:7" ht="12.75">
      <c r="A11" t="s">
        <v>58</v>
      </c>
      <c r="B11" s="18"/>
      <c r="C11" s="6">
        <v>4.4</v>
      </c>
      <c r="D11" s="6">
        <v>70</v>
      </c>
      <c r="G11" t="s">
        <v>52</v>
      </c>
    </row>
    <row r="12" spans="1:7" ht="12.75">
      <c r="A12" t="s">
        <v>58</v>
      </c>
      <c r="B12" s="18"/>
      <c r="D12" s="6">
        <v>80</v>
      </c>
      <c r="G12" t="s">
        <v>53</v>
      </c>
    </row>
    <row r="13" spans="1:7" ht="12.75">
      <c r="A13" t="s">
        <v>59</v>
      </c>
      <c r="B13" s="18"/>
      <c r="C13" s="6">
        <v>3.4</v>
      </c>
      <c r="D13" s="6">
        <v>180</v>
      </c>
      <c r="G13" t="s">
        <v>52</v>
      </c>
    </row>
    <row r="14" spans="1:7" ht="12.75">
      <c r="A14" t="s">
        <v>59</v>
      </c>
      <c r="B14" s="18"/>
      <c r="D14" s="6">
        <v>200</v>
      </c>
      <c r="G14" t="s">
        <v>53</v>
      </c>
    </row>
    <row r="15" spans="1:7" ht="12.75">
      <c r="A15" t="s">
        <v>60</v>
      </c>
      <c r="B15" s="18"/>
      <c r="C15" s="6">
        <v>13.5</v>
      </c>
      <c r="D15" s="6">
        <v>0.016</v>
      </c>
      <c r="G15" t="s">
        <v>52</v>
      </c>
    </row>
    <row r="16" spans="1:7" ht="12.75">
      <c r="A16" t="s">
        <v>60</v>
      </c>
      <c r="B16" s="18"/>
      <c r="D16" s="6">
        <v>0.01</v>
      </c>
      <c r="G16" t="s">
        <v>53</v>
      </c>
    </row>
    <row r="17" spans="1:7" ht="12.75">
      <c r="A17" t="s">
        <v>61</v>
      </c>
      <c r="B17" s="18"/>
      <c r="C17" s="6">
        <v>4.7</v>
      </c>
      <c r="D17" s="6">
        <v>50</v>
      </c>
      <c r="G17" t="s">
        <v>52</v>
      </c>
    </row>
    <row r="18" spans="1:7" ht="12.75">
      <c r="A18" t="s">
        <v>62</v>
      </c>
      <c r="B18" s="18"/>
      <c r="C18" s="6">
        <v>10.5</v>
      </c>
      <c r="D18" s="6">
        <v>0.25</v>
      </c>
      <c r="G18" t="s">
        <v>52</v>
      </c>
    </row>
    <row r="19" spans="1:7" ht="12.75">
      <c r="A19" t="s">
        <v>63</v>
      </c>
      <c r="B19" s="18"/>
      <c r="C19" s="6">
        <v>12.2</v>
      </c>
      <c r="D19" s="6">
        <v>0.05</v>
      </c>
      <c r="G19" t="s">
        <v>52</v>
      </c>
    </row>
    <row r="20" spans="1:7" ht="12.75">
      <c r="A20" t="s">
        <v>64</v>
      </c>
      <c r="B20" s="18"/>
      <c r="C20" s="6">
        <v>14.8</v>
      </c>
      <c r="D20" s="6">
        <v>0.005</v>
      </c>
      <c r="G20" t="s">
        <v>52</v>
      </c>
    </row>
    <row r="21" spans="1:7" ht="12.75">
      <c r="A21" t="s">
        <v>65</v>
      </c>
      <c r="B21" s="18"/>
      <c r="C21" s="6">
        <v>17</v>
      </c>
      <c r="D21" s="6">
        <v>0.0006</v>
      </c>
      <c r="G21" t="s">
        <v>52</v>
      </c>
    </row>
    <row r="22" spans="1:7" ht="12.75">
      <c r="A22" t="s">
        <v>66</v>
      </c>
      <c r="B22" s="18"/>
      <c r="C22" s="6">
        <v>16.5</v>
      </c>
      <c r="D22" s="6">
        <v>0.001</v>
      </c>
      <c r="G22" t="s">
        <v>52</v>
      </c>
    </row>
    <row r="23" spans="1:7" ht="12.75">
      <c r="A23" t="s">
        <v>67</v>
      </c>
      <c r="B23" s="18"/>
      <c r="D23" s="6">
        <f>60*10^-6</f>
        <v>5.9999999999999995E-05</v>
      </c>
      <c r="G23" t="s">
        <v>53</v>
      </c>
    </row>
    <row r="24" spans="1:7" ht="12.75">
      <c r="A24" t="s">
        <v>68</v>
      </c>
      <c r="B24" s="18"/>
      <c r="D24" s="6">
        <f>15*10^-6</f>
        <v>1.4999999999999999E-05</v>
      </c>
      <c r="G24" t="s">
        <v>53</v>
      </c>
    </row>
    <row r="25" spans="1:7" ht="12.75">
      <c r="A25" t="s">
        <v>69</v>
      </c>
      <c r="B25" s="18"/>
      <c r="C25" s="6">
        <v>21</v>
      </c>
      <c r="D25" s="6">
        <v>1.6E-05</v>
      </c>
      <c r="E25" s="6">
        <v>0.25</v>
      </c>
      <c r="G25" t="s">
        <v>52</v>
      </c>
    </row>
    <row r="26" spans="1:7" ht="12.75">
      <c r="A26" t="s">
        <v>70</v>
      </c>
      <c r="B26" s="18"/>
      <c r="C26" s="6">
        <v>18</v>
      </c>
      <c r="D26" s="6">
        <v>0.00025</v>
      </c>
      <c r="G26" t="s">
        <v>52</v>
      </c>
    </row>
    <row r="27" spans="1:7" ht="12.75">
      <c r="A27" t="s">
        <v>71</v>
      </c>
      <c r="B27" s="18"/>
      <c r="D27" s="6">
        <f>40*10^-6</f>
        <v>3.9999999999999996E-05</v>
      </c>
      <c r="G27" t="s">
        <v>53</v>
      </c>
    </row>
    <row r="28" spans="1:7" ht="12.75">
      <c r="A28" t="s">
        <v>72</v>
      </c>
      <c r="B28" s="18"/>
      <c r="D28" s="6">
        <f>8*10^-6</f>
        <v>8E-06</v>
      </c>
      <c r="G28" t="s">
        <v>53</v>
      </c>
    </row>
    <row r="29" spans="1:7" ht="12.75">
      <c r="A29" t="s">
        <v>73</v>
      </c>
      <c r="B29" s="18"/>
      <c r="C29" s="6">
        <v>21</v>
      </c>
      <c r="D29" s="6">
        <v>1.6E-05</v>
      </c>
      <c r="E29" s="6">
        <v>0.25</v>
      </c>
      <c r="G29" t="s">
        <v>52</v>
      </c>
    </row>
    <row r="30" spans="1:7" ht="12.75">
      <c r="A30" t="s">
        <v>74</v>
      </c>
      <c r="B30" s="18"/>
      <c r="D30" s="6">
        <f>4*10^-6</f>
        <v>4E-06</v>
      </c>
      <c r="G30" t="s">
        <v>53</v>
      </c>
    </row>
    <row r="31" spans="1:7" ht="12.75">
      <c r="A31" t="s">
        <v>75</v>
      </c>
      <c r="B31" s="18"/>
      <c r="D31" s="6">
        <f>2*10^-6</f>
        <v>2E-06</v>
      </c>
      <c r="G31" t="s">
        <v>53</v>
      </c>
    </row>
    <row r="32" spans="1:7" ht="12.75">
      <c r="A32" t="s">
        <v>76</v>
      </c>
      <c r="D32" s="6">
        <v>1000</v>
      </c>
      <c r="G32" t="s">
        <v>53</v>
      </c>
    </row>
    <row r="33" spans="1:7" ht="12.75">
      <c r="A33" t="s">
        <v>77</v>
      </c>
      <c r="D33" s="6">
        <v>120</v>
      </c>
      <c r="F33" s="6">
        <v>9</v>
      </c>
      <c r="G33" t="s">
        <v>78</v>
      </c>
    </row>
    <row r="34" spans="1:7" ht="12.75">
      <c r="A34" t="s">
        <v>79</v>
      </c>
      <c r="D34" s="6">
        <v>0.93</v>
      </c>
      <c r="F34" s="6">
        <v>2</v>
      </c>
      <c r="G34" t="s">
        <v>80</v>
      </c>
    </row>
    <row r="35" spans="1:7" ht="12.75">
      <c r="A35" t="s">
        <v>81</v>
      </c>
      <c r="D35" s="6">
        <v>0.46</v>
      </c>
      <c r="F35" s="6">
        <v>1</v>
      </c>
      <c r="G35" t="s">
        <v>82</v>
      </c>
    </row>
    <row r="36" spans="1:7" ht="12.75">
      <c r="A36" t="s">
        <v>83</v>
      </c>
      <c r="D36" s="6">
        <v>0.3</v>
      </c>
      <c r="F36" s="6">
        <v>-3</v>
      </c>
      <c r="G36" t="s">
        <v>84</v>
      </c>
    </row>
    <row r="37" spans="1:7" ht="12.75">
      <c r="A37" t="s">
        <v>85</v>
      </c>
      <c r="F37" s="6">
        <v>-5</v>
      </c>
      <c r="G37" t="s">
        <v>84</v>
      </c>
    </row>
    <row r="38" spans="1:7" ht="12.75">
      <c r="A38" t="s">
        <v>86</v>
      </c>
      <c r="F38" s="6">
        <v>-4</v>
      </c>
      <c r="G38" t="s">
        <v>84</v>
      </c>
    </row>
    <row r="39" spans="1:7" ht="12.75">
      <c r="A39" t="s">
        <v>87</v>
      </c>
      <c r="F39" s="6">
        <v>-6</v>
      </c>
      <c r="G39" t="s">
        <v>84</v>
      </c>
    </row>
    <row r="40" spans="1:7" ht="12.75">
      <c r="A40" t="s">
        <v>88</v>
      </c>
      <c r="D40" s="6">
        <f>2000*10^-6</f>
        <v>0.002</v>
      </c>
      <c r="G40" t="s">
        <v>53</v>
      </c>
    </row>
    <row r="41" spans="1:7" ht="12.75">
      <c r="A41" t="s">
        <v>89</v>
      </c>
      <c r="B41" s="18"/>
      <c r="C41" s="6">
        <v>16</v>
      </c>
      <c r="D41" s="6">
        <v>0.0016</v>
      </c>
      <c r="G41" t="s">
        <v>52</v>
      </c>
    </row>
    <row r="42" spans="1:7" ht="12.75">
      <c r="A42" t="s">
        <v>90</v>
      </c>
      <c r="B42" s="18"/>
      <c r="C42" s="6">
        <v>18</v>
      </c>
      <c r="D42" s="6">
        <v>0.00025</v>
      </c>
      <c r="G42" t="s">
        <v>52</v>
      </c>
    </row>
    <row r="43" spans="1:7" ht="12.75">
      <c r="A43" t="s">
        <v>91</v>
      </c>
      <c r="D43" s="6">
        <f>150*10^-6</f>
        <v>0.00015</v>
      </c>
      <c r="G43" t="s">
        <v>53</v>
      </c>
    </row>
    <row r="44" spans="1:7" ht="12.75">
      <c r="A44" t="s">
        <v>92</v>
      </c>
      <c r="D44" s="6">
        <f>10*10^-6</f>
        <v>9.999999999999999E-06</v>
      </c>
      <c r="F44" s="6">
        <v>-15</v>
      </c>
      <c r="G44" t="s">
        <v>93</v>
      </c>
    </row>
    <row r="45" spans="1:7" ht="12.75">
      <c r="A45" t="s">
        <v>94</v>
      </c>
      <c r="C45" s="6">
        <v>21.986</v>
      </c>
      <c r="D45" s="19">
        <v>6.91427593943014E-06</v>
      </c>
      <c r="G45" t="s">
        <v>95</v>
      </c>
    </row>
    <row r="46" spans="1:7" ht="12.75">
      <c r="A46" t="s">
        <v>96</v>
      </c>
      <c r="C46" s="6">
        <v>-10.8</v>
      </c>
      <c r="D46" s="6">
        <v>80000000</v>
      </c>
      <c r="F46" s="6">
        <v>16</v>
      </c>
      <c r="G46" t="s">
        <v>97</v>
      </c>
    </row>
    <row r="47" spans="1:7" ht="12.75">
      <c r="A47" t="s">
        <v>96</v>
      </c>
      <c r="D47" s="6">
        <v>10000000</v>
      </c>
      <c r="G47" t="s">
        <v>53</v>
      </c>
    </row>
    <row r="48" spans="1:7" ht="12.75">
      <c r="A48" t="s">
        <v>98</v>
      </c>
      <c r="D48" s="6">
        <v>100</v>
      </c>
      <c r="G48" t="s">
        <v>53</v>
      </c>
    </row>
    <row r="49" spans="1:7" ht="12.75">
      <c r="A49" t="s">
        <v>99</v>
      </c>
      <c r="C49" s="6">
        <v>4.8</v>
      </c>
      <c r="D49" s="6">
        <v>48</v>
      </c>
      <c r="G49" t="s">
        <v>52</v>
      </c>
    </row>
    <row r="50" spans="1:7" ht="12.75">
      <c r="A50" t="s">
        <v>100</v>
      </c>
      <c r="D50" s="6">
        <v>50</v>
      </c>
      <c r="G50" t="s">
        <v>53</v>
      </c>
    </row>
    <row r="51" spans="1:7" ht="12.75">
      <c r="A51" t="s">
        <v>101</v>
      </c>
      <c r="D51" s="6">
        <v>5</v>
      </c>
      <c r="G51" t="s">
        <v>53</v>
      </c>
    </row>
    <row r="52" spans="1:7" ht="12.75">
      <c r="A52" t="s">
        <v>102</v>
      </c>
      <c r="B52" s="18"/>
      <c r="C52" s="6">
        <v>7.5</v>
      </c>
      <c r="D52" s="6">
        <v>4</v>
      </c>
      <c r="G52" t="s">
        <v>52</v>
      </c>
    </row>
    <row r="53" spans="1:7" ht="12.75">
      <c r="A53" t="s">
        <v>103</v>
      </c>
      <c r="B53" s="18"/>
      <c r="C53" s="6">
        <v>4.2</v>
      </c>
      <c r="D53" s="6">
        <f>80000000/1000000</f>
        <v>80</v>
      </c>
      <c r="G53" t="s">
        <v>52</v>
      </c>
    </row>
    <row r="54" spans="1:7" ht="12.75">
      <c r="A54" t="s">
        <v>104</v>
      </c>
      <c r="B54" s="18"/>
      <c r="C54" s="6">
        <v>1.7</v>
      </c>
      <c r="D54" s="6">
        <f>80000000/100000</f>
        <v>800</v>
      </c>
      <c r="G54" t="s">
        <v>52</v>
      </c>
    </row>
    <row r="55" spans="1:7" ht="12.75">
      <c r="A55" t="s">
        <v>105</v>
      </c>
      <c r="B55" s="18"/>
      <c r="C55" s="6">
        <v>-0.8</v>
      </c>
      <c r="D55" s="6">
        <f>80000000/10000</f>
        <v>8000</v>
      </c>
      <c r="G55" t="s">
        <v>52</v>
      </c>
    </row>
    <row r="56" spans="1:7" ht="12.75">
      <c r="A56" t="s">
        <v>106</v>
      </c>
      <c r="B56" s="18"/>
      <c r="C56" s="6">
        <v>4.4</v>
      </c>
      <c r="D56" s="6">
        <v>70</v>
      </c>
      <c r="G56" t="s">
        <v>52</v>
      </c>
    </row>
    <row r="57" spans="1:7" ht="12.75">
      <c r="A57" t="s">
        <v>106</v>
      </c>
      <c r="D57" s="6">
        <v>1000</v>
      </c>
      <c r="G57" t="s">
        <v>53</v>
      </c>
    </row>
    <row r="58" spans="1:7" ht="12.75">
      <c r="A58" t="s">
        <v>107</v>
      </c>
      <c r="B58" s="18"/>
      <c r="C58" s="6">
        <v>1.5</v>
      </c>
      <c r="D58" s="6">
        <v>1000</v>
      </c>
      <c r="G58" t="s">
        <v>52</v>
      </c>
    </row>
    <row r="59" spans="1:7" ht="12.75">
      <c r="A59" t="s">
        <v>107</v>
      </c>
      <c r="D59" s="6">
        <v>2000</v>
      </c>
      <c r="G59" t="s">
        <v>53</v>
      </c>
    </row>
    <row r="60" spans="1:7" ht="12.75">
      <c r="A60" t="s">
        <v>108</v>
      </c>
      <c r="B60" s="18"/>
      <c r="C60" s="6">
        <v>4</v>
      </c>
      <c r="D60" s="6">
        <v>100</v>
      </c>
      <c r="G60" t="s">
        <v>52</v>
      </c>
    </row>
    <row r="61" spans="1:7" ht="12.75">
      <c r="A61" t="s">
        <v>108</v>
      </c>
      <c r="D61" s="6">
        <v>160</v>
      </c>
      <c r="G61" t="s">
        <v>53</v>
      </c>
    </row>
    <row r="62" spans="1:7" ht="12.75">
      <c r="A62" t="s">
        <v>109</v>
      </c>
      <c r="B62" s="18"/>
      <c r="C62" s="6">
        <v>5.3</v>
      </c>
      <c r="D62" s="6">
        <v>30</v>
      </c>
      <c r="G62" t="s">
        <v>52</v>
      </c>
    </row>
    <row r="63" spans="1:7" ht="12.75">
      <c r="A63" t="s">
        <v>109</v>
      </c>
      <c r="D63" s="6">
        <v>30</v>
      </c>
      <c r="G63" t="s">
        <v>53</v>
      </c>
    </row>
    <row r="64" spans="1:7" ht="12.75">
      <c r="A64" t="s">
        <v>110</v>
      </c>
      <c r="B64" s="18"/>
      <c r="C64" s="6">
        <v>6.7</v>
      </c>
      <c r="D64" s="6">
        <v>8</v>
      </c>
      <c r="G64" t="s">
        <v>52</v>
      </c>
    </row>
    <row r="65" spans="1:7" ht="12.75">
      <c r="A65" t="s">
        <v>110</v>
      </c>
      <c r="D65" s="6">
        <v>10</v>
      </c>
      <c r="G65" t="s">
        <v>53</v>
      </c>
    </row>
    <row r="66" spans="1:7" ht="12.75">
      <c r="A66" t="s">
        <v>111</v>
      </c>
      <c r="B66" s="18"/>
      <c r="C66" s="6">
        <v>8.6</v>
      </c>
      <c r="D66" s="6">
        <v>1.4</v>
      </c>
      <c r="G66" t="s">
        <v>52</v>
      </c>
    </row>
    <row r="67" spans="1:7" ht="12.75">
      <c r="A67" t="s">
        <v>111</v>
      </c>
      <c r="D67" s="6">
        <v>4</v>
      </c>
      <c r="G67" t="s">
        <v>53</v>
      </c>
    </row>
    <row r="68" spans="1:7" ht="12.75">
      <c r="A68" t="s">
        <v>112</v>
      </c>
      <c r="B68" s="18"/>
      <c r="C68" s="6">
        <v>9.3</v>
      </c>
      <c r="D68" s="6">
        <v>0.75</v>
      </c>
      <c r="G68" t="s">
        <v>52</v>
      </c>
    </row>
    <row r="69" spans="1:7" ht="12.75">
      <c r="A69" t="s">
        <v>112</v>
      </c>
      <c r="D69" s="6">
        <v>1</v>
      </c>
      <c r="G69" t="s">
        <v>53</v>
      </c>
    </row>
    <row r="71" ht="12.75">
      <c r="A71" s="4" t="s">
        <v>113</v>
      </c>
    </row>
    <row r="72" ht="12.75">
      <c r="A72" t="s">
        <v>114</v>
      </c>
    </row>
    <row r="73" ht="12.75">
      <c r="A73" t="s">
        <v>115</v>
      </c>
    </row>
    <row r="75" ht="12.75">
      <c r="A75" s="4" t="s">
        <v>116</v>
      </c>
    </row>
    <row r="77" spans="1:2" ht="12.75">
      <c r="A77" t="s">
        <v>117</v>
      </c>
      <c r="B77" s="20" t="s">
        <v>118</v>
      </c>
    </row>
    <row r="78" spans="1:2" ht="12.75">
      <c r="A78" t="s">
        <v>119</v>
      </c>
      <c r="B78" s="20" t="s">
        <v>120</v>
      </c>
    </row>
    <row r="79" spans="1:2" ht="12.75">
      <c r="A79" t="s">
        <v>121</v>
      </c>
      <c r="B79" s="20" t="s">
        <v>122</v>
      </c>
    </row>
    <row r="80" spans="1:2" ht="12.75">
      <c r="A80" t="s">
        <v>123</v>
      </c>
      <c r="B80" s="20" t="s">
        <v>124</v>
      </c>
    </row>
    <row r="81" spans="1:2" ht="12.75">
      <c r="A81" t="s">
        <v>28</v>
      </c>
      <c r="B81" s="21" t="s">
        <v>29</v>
      </c>
    </row>
    <row r="82" spans="1:2" ht="12.75">
      <c r="A82" t="s">
        <v>30</v>
      </c>
      <c r="B82" s="21" t="s">
        <v>31</v>
      </c>
    </row>
    <row r="83" spans="1:2" ht="12.75">
      <c r="A83" t="s">
        <v>32</v>
      </c>
      <c r="B83" s="21" t="s">
        <v>33</v>
      </c>
    </row>
    <row r="84" spans="1:2" ht="12.75">
      <c r="A84" t="s">
        <v>34</v>
      </c>
      <c r="B84" s="21" t="s">
        <v>35</v>
      </c>
    </row>
    <row r="85" spans="1:2" ht="12.75">
      <c r="A85" t="s">
        <v>36</v>
      </c>
      <c r="B85" s="21" t="s">
        <v>37</v>
      </c>
    </row>
    <row r="86" spans="1:2" ht="12.75">
      <c r="A86" t="s">
        <v>38</v>
      </c>
      <c r="B86" s="21" t="s">
        <v>39</v>
      </c>
    </row>
    <row r="87" spans="1:2" ht="12.75">
      <c r="A87" t="s">
        <v>40</v>
      </c>
      <c r="B87" s="21" t="s">
        <v>41</v>
      </c>
    </row>
    <row r="88" spans="1:2" ht="12.75">
      <c r="A88" t="s">
        <v>42</v>
      </c>
      <c r="B88" s="21" t="s">
        <v>43</v>
      </c>
    </row>
    <row r="89" spans="1:2" ht="12.75">
      <c r="A89" t="s">
        <v>44</v>
      </c>
      <c r="B89" s="21" t="s">
        <v>45</v>
      </c>
    </row>
    <row r="112" ht="12.75">
      <c r="A112" t="s">
        <v>125</v>
      </c>
    </row>
  </sheetData>
  <hyperlinks>
    <hyperlink ref="B82" r:id="rId1" display="http://www.rphotoz.com/astrophoto/expcalcs.html"/>
    <hyperlink ref="B83" r:id="rId2" display="http://www.covingtoninnovations.com/astro/astrosoft.html"/>
    <hyperlink ref="B84" r:id="rId3" display="http://www.starizona.com/ccd/calc_ideal.htm"/>
    <hyperlink ref="B81" r:id="rId4" display="http://www.covingtoninnovations.com/"/>
    <hyperlink ref="B85" r:id="rId5" display="http://ssd.jpl.nasa.gov/cgi-bin/eph"/>
    <hyperlink ref="B86" r:id="rId6" display="http://cfa-www.harvard.edu/iau/Ephemerides/Comets/index.html"/>
    <hyperlink ref="B87" r:id="rId7" display="http://www.rochesterastronomy.org/supernova.html"/>
    <hyperlink ref="B88" r:id="rId8" display="http://www.aavso.org/"/>
    <hyperlink ref="B89" r:id="rId9" display="http://www.willbell.com/"/>
    <hyperlink ref="B77" r:id="rId10" display="http://www.fredparker.com/ultexp1.htm#evfclux "/>
    <hyperlink ref="B78" r:id="rId11" display="http://www.kenrockwell.com/tech/ev.htm"/>
    <hyperlink ref="B79" r:id="rId12" display="http://adsabs.harvard.edu/cgi-bin/nph-bib_query?bibcode=1989PASP..101..306G"/>
    <hyperlink ref="B80" r:id="rId13" display="http://adsabs.harvard.edu/cgi-bin/nph-bib_query?bibcode=1989ARA%26A..27...19G"/>
  </hyperlinks>
  <printOptions/>
  <pageMargins left="0.75" right="0.75" top="1" bottom="1" header="0.5" footer="0.5"/>
  <pageSetup horizontalDpi="1200" verticalDpi="1200" orientation="portrait" r:id="rId14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A18"/>
  <sheetViews>
    <sheetView workbookViewId="0" topLeftCell="A1">
      <selection activeCell="A1" sqref="A1"/>
    </sheetView>
  </sheetViews>
  <sheetFormatPr defaultColWidth="9.140625" defaultRowHeight="12.75"/>
  <cols>
    <col min="2" max="2" width="6.00390625" style="0" customWidth="1"/>
    <col min="3" max="3" width="12.421875" style="0" customWidth="1"/>
    <col min="4" max="11" width="12.421875" style="0" hidden="1" customWidth="1"/>
    <col min="12" max="12" width="12.421875" style="0" customWidth="1"/>
    <col min="13" max="14" width="12.421875" style="0" bestFit="1" customWidth="1"/>
    <col min="15" max="17" width="0" style="0" hidden="1" customWidth="1"/>
    <col min="18" max="18" width="11.421875" style="0" bestFit="1" customWidth="1"/>
    <col min="24" max="24" width="12.421875" style="0" hidden="1" customWidth="1"/>
    <col min="25" max="27" width="0" style="0" hidden="1" customWidth="1"/>
  </cols>
  <sheetData>
    <row r="1" spans="1:27" ht="12.75">
      <c r="A1" s="4" t="s">
        <v>254</v>
      </c>
      <c r="B1" s="4" t="s">
        <v>255</v>
      </c>
      <c r="C1" s="4" t="s">
        <v>256</v>
      </c>
      <c r="D1" s="13" t="s">
        <v>4</v>
      </c>
      <c r="E1" s="13" t="s">
        <v>3</v>
      </c>
      <c r="F1" s="13" t="s">
        <v>5</v>
      </c>
      <c r="G1" s="13" t="s">
        <v>7</v>
      </c>
      <c r="H1" s="12" t="s">
        <v>15</v>
      </c>
      <c r="I1" s="12" t="s">
        <v>0</v>
      </c>
      <c r="J1" s="35" t="s">
        <v>221</v>
      </c>
      <c r="K1" s="12" t="s">
        <v>222</v>
      </c>
      <c r="L1" s="12" t="s">
        <v>9</v>
      </c>
      <c r="M1" s="4" t="s">
        <v>180</v>
      </c>
      <c r="N1" s="4" t="s">
        <v>182</v>
      </c>
      <c r="O1" s="4" t="s">
        <v>183</v>
      </c>
      <c r="P1" s="4" t="s">
        <v>184</v>
      </c>
      <c r="Q1" s="4" t="s">
        <v>185</v>
      </c>
      <c r="R1" s="4" t="s">
        <v>257</v>
      </c>
      <c r="S1" s="4" t="s">
        <v>258</v>
      </c>
      <c r="T1" s="4" t="s">
        <v>259</v>
      </c>
      <c r="U1" s="4" t="s">
        <v>322</v>
      </c>
      <c r="V1" s="4"/>
      <c r="W1" s="4"/>
      <c r="X1">
        <v>-9.8</v>
      </c>
      <c r="Y1">
        <v>-1.9</v>
      </c>
      <c r="Z1">
        <v>-8.35</v>
      </c>
      <c r="AA1">
        <v>-5.9</v>
      </c>
    </row>
    <row r="2" spans="1:27" ht="12.75">
      <c r="A2" s="6">
        <v>-1.4</v>
      </c>
      <c r="B2" s="6">
        <v>7.7</v>
      </c>
      <c r="C2" s="6">
        <f aca="true" t="shared" si="0" ref="C2:C17">10^A2</f>
        <v>0.03981071705534973</v>
      </c>
      <c r="D2" s="9">
        <f aca="true" t="shared" si="1" ref="D2:D17">C2*10^-6</f>
        <v>3.981071705534972E-08</v>
      </c>
      <c r="E2" s="9">
        <f aca="true" t="shared" si="2" ref="E2:E17">+D2*10^-3</f>
        <v>3.981071705534972E-11</v>
      </c>
      <c r="F2" s="9">
        <f aca="true" t="shared" si="3" ref="F2:F17">E2*PI()</f>
        <v>1.2506905623522857E-10</v>
      </c>
      <c r="G2" s="36">
        <f aca="true" t="shared" si="4" ref="G2:G17">F2*10^4</f>
        <v>1.2506905623522857E-06</v>
      </c>
      <c r="H2" s="6">
        <f aca="true" t="shared" si="5" ref="H2:H17">0.84*10^-2</f>
        <v>0.0084</v>
      </c>
      <c r="I2" s="6">
        <f aca="true" t="shared" si="6" ref="I2:I17">2*LOG(3600)</f>
        <v>7.1126050015345745</v>
      </c>
      <c r="J2" s="6">
        <f aca="true" t="shared" si="7" ref="J2:J17">-2.5*(LOG(G2/H2)-I2)</f>
        <v>27.349336037255803</v>
      </c>
      <c r="K2" s="6">
        <v>0.0376</v>
      </c>
      <c r="L2" s="8">
        <f aca="true" t="shared" si="8" ref="L2:L17">+J2+K2</f>
        <v>27.386936037255804</v>
      </c>
      <c r="M2" s="6">
        <f>IF(A2&lt;=3.17,X3,Z3)</f>
        <v>1.5848931924611098E-10</v>
      </c>
      <c r="N2" s="6">
        <f>IF(A2&lt;=3.17,Y3,AA3)</f>
        <v>0.012589254117941664</v>
      </c>
      <c r="O2" s="6">
        <f aca="true" t="shared" si="9" ref="O2:O17">SQRT(N2*C2)</f>
        <v>0.02238721138568339</v>
      </c>
      <c r="P2" s="6">
        <f aca="true" t="shared" si="10" ref="P2:P17">1+O2</f>
        <v>1.0223872113856833</v>
      </c>
      <c r="Q2" s="6">
        <f aca="true" t="shared" si="11" ref="Q2:Q17">+P2^2</f>
        <v>1.045275610004994</v>
      </c>
      <c r="R2" s="6">
        <f aca="true" t="shared" si="12" ref="R2:R17">+Q2*M2</f>
        <v>1.656650198542549E-10</v>
      </c>
      <c r="S2" s="8">
        <f>-16.8-(2.5*LOG(R2,10))</f>
        <v>7.6519229577992895</v>
      </c>
      <c r="T2" s="30">
        <f aca="true" t="shared" si="13" ref="T2:T17">+B2-S2</f>
        <v>0.04807704220071063</v>
      </c>
      <c r="U2" s="30">
        <f>-16.57-(2.5*LOG(R2,10))</f>
        <v>7.88192295779929</v>
      </c>
      <c r="V2" s="30"/>
      <c r="W2" s="30"/>
      <c r="X2" t="s">
        <v>191</v>
      </c>
      <c r="Y2" t="s">
        <v>192</v>
      </c>
      <c r="Z2" t="s">
        <v>193</v>
      </c>
      <c r="AA2" t="s">
        <v>194</v>
      </c>
    </row>
    <row r="3" spans="1:27" ht="12.75">
      <c r="A3" s="6">
        <v>0</v>
      </c>
      <c r="B3" s="6">
        <v>7.5</v>
      </c>
      <c r="C3" s="6">
        <f t="shared" si="0"/>
        <v>1</v>
      </c>
      <c r="D3" s="9">
        <f t="shared" si="1"/>
        <v>1E-06</v>
      </c>
      <c r="E3" s="9">
        <f t="shared" si="2"/>
        <v>1E-09</v>
      </c>
      <c r="F3" s="9">
        <f t="shared" si="3"/>
        <v>3.141592653589793E-09</v>
      </c>
      <c r="G3" s="36">
        <f t="shared" si="4"/>
        <v>3.1415926535897935E-05</v>
      </c>
      <c r="H3" s="6">
        <f t="shared" si="5"/>
        <v>0.0084</v>
      </c>
      <c r="I3" s="6">
        <f t="shared" si="6"/>
        <v>7.1126050015345745</v>
      </c>
      <c r="J3" s="6">
        <f t="shared" si="7"/>
        <v>23.84933603725581</v>
      </c>
      <c r="K3" s="6">
        <v>0.0376</v>
      </c>
      <c r="L3" s="8">
        <f t="shared" si="8"/>
        <v>23.88693603725581</v>
      </c>
      <c r="M3" s="6">
        <f>IF(A3&lt;=3.17,X4,Z4)</f>
        <v>1.5848931924611098E-10</v>
      </c>
      <c r="N3" s="6">
        <f>IF(A3&lt;=3.17,Y4,AA4)</f>
        <v>0.012589254117941664</v>
      </c>
      <c r="O3" s="6">
        <f t="shared" si="9"/>
        <v>0.1122018454301963</v>
      </c>
      <c r="P3" s="6">
        <f t="shared" si="10"/>
        <v>1.1122018454301963</v>
      </c>
      <c r="Q3" s="6">
        <f t="shared" si="11"/>
        <v>1.2369929449783343</v>
      </c>
      <c r="R3" s="6">
        <f t="shared" si="12"/>
        <v>1.9605016976185824E-10</v>
      </c>
      <c r="S3" s="8">
        <f aca="true" t="shared" si="14" ref="S3:S17">-16.8-(2.5*LOG(R3,10))</f>
        <v>7.469081943258882</v>
      </c>
      <c r="T3" s="30">
        <f t="shared" si="13"/>
        <v>0.03091805674111825</v>
      </c>
      <c r="U3" s="30">
        <f aca="true" t="shared" si="15" ref="U3:U17">-16.57-(2.5*LOG(R3,10))</f>
        <v>7.699081943258882</v>
      </c>
      <c r="V3" s="30"/>
      <c r="W3" s="30"/>
      <c r="X3">
        <f>10^X1</f>
        <v>1.5848931924611098E-10</v>
      </c>
      <c r="Y3">
        <f>10^Y1</f>
        <v>0.012589254117941664</v>
      </c>
      <c r="Z3">
        <f>10^Z1</f>
        <v>4.466835921509622E-09</v>
      </c>
      <c r="AA3">
        <f>10^AA1</f>
        <v>1.2589254117941642E-06</v>
      </c>
    </row>
    <row r="4" spans="1:27" ht="12.75">
      <c r="A4" s="6">
        <f>+A3+1</f>
        <v>1</v>
      </c>
      <c r="B4" s="6">
        <v>7</v>
      </c>
      <c r="C4" s="6">
        <f t="shared" si="0"/>
        <v>10</v>
      </c>
      <c r="D4" s="9">
        <f t="shared" si="1"/>
        <v>9.999999999999999E-06</v>
      </c>
      <c r="E4" s="9">
        <f t="shared" si="2"/>
        <v>9.999999999999999E-09</v>
      </c>
      <c r="F4" s="9">
        <f t="shared" si="3"/>
        <v>3.1415926535897924E-08</v>
      </c>
      <c r="G4" s="36">
        <f t="shared" si="4"/>
        <v>0.00031415926535897925</v>
      </c>
      <c r="H4" s="6">
        <f t="shared" si="5"/>
        <v>0.0084</v>
      </c>
      <c r="I4" s="6">
        <f t="shared" si="6"/>
        <v>7.1126050015345745</v>
      </c>
      <c r="J4" s="6">
        <f t="shared" si="7"/>
        <v>21.34933603725581</v>
      </c>
      <c r="K4" s="6">
        <v>0.0376</v>
      </c>
      <c r="L4" s="8">
        <f t="shared" si="8"/>
        <v>21.38693603725581</v>
      </c>
      <c r="M4" s="6">
        <f>IF(A4&lt;=3.17,X6,Z6)</f>
        <v>1.5848931924611098E-10</v>
      </c>
      <c r="N4" s="6">
        <f>IF(A4&lt;=3.17,Y6,AA6)</f>
        <v>0.012589254117941664</v>
      </c>
      <c r="O4" s="6">
        <f t="shared" si="9"/>
        <v>0.35481338923357536</v>
      </c>
      <c r="P4" s="6">
        <f t="shared" si="10"/>
        <v>1.3548133892335754</v>
      </c>
      <c r="Q4" s="6">
        <f t="shared" si="11"/>
        <v>1.8355193196465676</v>
      </c>
      <c r="R4" s="6">
        <f t="shared" si="12"/>
        <v>2.9091020743386926E-10</v>
      </c>
      <c r="S4" s="8">
        <f t="shared" si="14"/>
        <v>7.040602599989686</v>
      </c>
      <c r="T4" s="30">
        <f t="shared" si="13"/>
        <v>-0.04060259998968618</v>
      </c>
      <c r="U4" s="30">
        <f t="shared" si="15"/>
        <v>7.270602599989687</v>
      </c>
      <c r="V4" s="30"/>
      <c r="W4" s="30"/>
      <c r="X4">
        <f>+X3</f>
        <v>1.5848931924611098E-10</v>
      </c>
      <c r="Y4">
        <f>+Y3</f>
        <v>0.012589254117941664</v>
      </c>
      <c r="Z4">
        <f>+Z3</f>
        <v>4.466835921509622E-09</v>
      </c>
      <c r="AA4">
        <f>+AA3</f>
        <v>1.2589254117941642E-06</v>
      </c>
    </row>
    <row r="5" spans="1:27" ht="12.75">
      <c r="A5" s="6">
        <v>1.7</v>
      </c>
      <c r="B5" s="6">
        <v>6.4</v>
      </c>
      <c r="C5" s="6">
        <f t="shared" si="0"/>
        <v>50.11872336272724</v>
      </c>
      <c r="D5" s="9">
        <f t="shared" si="1"/>
        <v>5.011872336272724E-05</v>
      </c>
      <c r="E5" s="9">
        <f t="shared" si="2"/>
        <v>5.0118723362727236E-08</v>
      </c>
      <c r="F5" s="9">
        <f t="shared" si="3"/>
        <v>1.5745261312364301E-07</v>
      </c>
      <c r="G5" s="36">
        <f t="shared" si="4"/>
        <v>0.00157452613123643</v>
      </c>
      <c r="H5" s="6">
        <f t="shared" si="5"/>
        <v>0.0084</v>
      </c>
      <c r="I5" s="6">
        <f t="shared" si="6"/>
        <v>7.1126050015345745</v>
      </c>
      <c r="J5" s="6">
        <f t="shared" si="7"/>
        <v>19.599336037255807</v>
      </c>
      <c r="K5" s="6">
        <v>0.0376</v>
      </c>
      <c r="L5" s="8">
        <f t="shared" si="8"/>
        <v>19.636936037255808</v>
      </c>
      <c r="M5" s="6">
        <f>IF(A5&lt;=3.17,X6,Z6)</f>
        <v>1.5848931924611098E-10</v>
      </c>
      <c r="N5" s="6">
        <f>IF(A5&lt;=3.17,Y6,AA6)</f>
        <v>0.012589254117941664</v>
      </c>
      <c r="O5" s="6">
        <f t="shared" si="9"/>
        <v>0.7943282347242814</v>
      </c>
      <c r="P5" s="6">
        <f t="shared" si="10"/>
        <v>1.7943282347242815</v>
      </c>
      <c r="Q5" s="6">
        <f t="shared" si="11"/>
        <v>3.2196138139287562</v>
      </c>
      <c r="R5" s="6">
        <f t="shared" si="12"/>
        <v>5.102744016049436E-10</v>
      </c>
      <c r="S5" s="8">
        <f t="shared" si="14"/>
        <v>6.430490544780664</v>
      </c>
      <c r="T5" s="30">
        <f t="shared" si="13"/>
        <v>-0.030490544780663598</v>
      </c>
      <c r="U5" s="30">
        <f t="shared" si="15"/>
        <v>6.660490544780664</v>
      </c>
      <c r="V5" s="30"/>
      <c r="W5" s="30"/>
      <c r="X5">
        <f aca="true" t="shared" si="16" ref="X5:AA6">+X3</f>
        <v>1.5848931924611098E-10</v>
      </c>
      <c r="Y5">
        <f t="shared" si="16"/>
        <v>0.012589254117941664</v>
      </c>
      <c r="Z5">
        <f t="shared" si="16"/>
        <v>4.466835921509622E-09</v>
      </c>
      <c r="AA5">
        <f t="shared" si="16"/>
        <v>1.2589254117941642E-06</v>
      </c>
    </row>
    <row r="6" spans="1:27" ht="12.75">
      <c r="A6" s="6">
        <f>+A4+1</f>
        <v>2</v>
      </c>
      <c r="B6" s="6">
        <v>6.1</v>
      </c>
      <c r="C6" s="6">
        <f t="shared" si="0"/>
        <v>100</v>
      </c>
      <c r="D6" s="9">
        <f t="shared" si="1"/>
        <v>9.999999999999999E-05</v>
      </c>
      <c r="E6" s="9">
        <f t="shared" si="2"/>
        <v>1E-07</v>
      </c>
      <c r="F6" s="9">
        <f t="shared" si="3"/>
        <v>3.141592653589793E-07</v>
      </c>
      <c r="G6" s="36">
        <f t="shared" si="4"/>
        <v>0.0031415926535897933</v>
      </c>
      <c r="H6" s="6">
        <f t="shared" si="5"/>
        <v>0.0084</v>
      </c>
      <c r="I6" s="6">
        <f t="shared" si="6"/>
        <v>7.1126050015345745</v>
      </c>
      <c r="J6" s="6">
        <f t="shared" si="7"/>
        <v>18.849336037255807</v>
      </c>
      <c r="K6" s="6">
        <v>0.0376</v>
      </c>
      <c r="L6" s="8">
        <f t="shared" si="8"/>
        <v>18.886936037255808</v>
      </c>
      <c r="M6" s="6">
        <f>IF(A6&lt;=3.17,X7,Z7)</f>
        <v>1.5848931924611098E-10</v>
      </c>
      <c r="N6" s="6">
        <f>IF(A6&lt;=3.17,Y7,AA7)</f>
        <v>0.012589254117941664</v>
      </c>
      <c r="O6" s="6">
        <f t="shared" si="9"/>
        <v>1.1220184543019631</v>
      </c>
      <c r="P6" s="6">
        <f t="shared" si="10"/>
        <v>2.122018454301963</v>
      </c>
      <c r="Q6" s="6">
        <f t="shared" si="11"/>
        <v>4.502962320398092</v>
      </c>
      <c r="R6" s="6">
        <f t="shared" si="12"/>
        <v>7.136714327507819E-10</v>
      </c>
      <c r="S6" s="8">
        <f t="shared" si="14"/>
        <v>6.066254217709066</v>
      </c>
      <c r="T6" s="30">
        <f t="shared" si="13"/>
        <v>0.033745782290933946</v>
      </c>
      <c r="U6" s="30">
        <f t="shared" si="15"/>
        <v>6.296254217709066</v>
      </c>
      <c r="V6" s="30"/>
      <c r="W6" s="30"/>
      <c r="X6">
        <f t="shared" si="16"/>
        <v>1.5848931924611098E-10</v>
      </c>
      <c r="Y6">
        <f t="shared" si="16"/>
        <v>0.012589254117941664</v>
      </c>
      <c r="Z6">
        <f t="shared" si="16"/>
        <v>4.466835921509622E-09</v>
      </c>
      <c r="AA6">
        <f t="shared" si="16"/>
        <v>1.2589254117941642E-06</v>
      </c>
    </row>
    <row r="7" spans="1:27" ht="12.75">
      <c r="A7" s="6">
        <f>+A6+1</f>
        <v>3</v>
      </c>
      <c r="B7" s="6">
        <v>4.3</v>
      </c>
      <c r="C7" s="6">
        <f t="shared" si="0"/>
        <v>1000</v>
      </c>
      <c r="D7" s="9">
        <f t="shared" si="1"/>
        <v>0.001</v>
      </c>
      <c r="E7" s="9">
        <f t="shared" si="2"/>
        <v>1E-06</v>
      </c>
      <c r="F7" s="9">
        <f t="shared" si="3"/>
        <v>3.141592653589793E-06</v>
      </c>
      <c r="G7" s="36">
        <f t="shared" si="4"/>
        <v>0.03141592653589793</v>
      </c>
      <c r="H7" s="6">
        <f t="shared" si="5"/>
        <v>0.0084</v>
      </c>
      <c r="I7" s="6">
        <f t="shared" si="6"/>
        <v>7.1126050015345745</v>
      </c>
      <c r="J7" s="6">
        <f t="shared" si="7"/>
        <v>16.349336037255807</v>
      </c>
      <c r="K7" s="6">
        <v>0.0376</v>
      </c>
      <c r="L7" s="8">
        <f t="shared" si="8"/>
        <v>16.386936037255808</v>
      </c>
      <c r="M7" s="6">
        <f>IF(A7&lt;=3.17,X8,Z8)</f>
        <v>1.5848931924611098E-10</v>
      </c>
      <c r="N7" s="6">
        <f>IF(A7&lt;=3.17,Y8,AA8)</f>
        <v>0.012589254117941664</v>
      </c>
      <c r="O7" s="6">
        <f t="shared" si="9"/>
        <v>3.5481338923357533</v>
      </c>
      <c r="P7" s="6">
        <f t="shared" si="10"/>
        <v>4.548133892335754</v>
      </c>
      <c r="Q7" s="6">
        <f t="shared" si="11"/>
        <v>20.685521902613175</v>
      </c>
      <c r="R7" s="6">
        <f t="shared" si="12"/>
        <v>3.2784342845956805E-09</v>
      </c>
      <c r="S7" s="8">
        <f t="shared" si="14"/>
        <v>4.410833793089214</v>
      </c>
      <c r="T7" s="30">
        <f t="shared" si="13"/>
        <v>-0.11083379308921426</v>
      </c>
      <c r="U7" s="30">
        <f t="shared" si="15"/>
        <v>4.6408337930892145</v>
      </c>
      <c r="V7" s="30"/>
      <c r="W7" s="30"/>
      <c r="X7">
        <f aca="true" t="shared" si="17" ref="X7:X18">+X6</f>
        <v>1.5848931924611098E-10</v>
      </c>
      <c r="Y7">
        <f aca="true" t="shared" si="18" ref="Y7:Y18">+Y6</f>
        <v>0.012589254117941664</v>
      </c>
      <c r="Z7">
        <f aca="true" t="shared" si="19" ref="Z7:Z18">+Z6</f>
        <v>4.466835921509622E-09</v>
      </c>
      <c r="AA7">
        <f aca="true" t="shared" si="20" ref="AA7:AA18">+AA6</f>
        <v>1.2589254117941642E-06</v>
      </c>
    </row>
    <row r="8" spans="1:27" ht="12.75">
      <c r="A8" s="6">
        <v>3.17</v>
      </c>
      <c r="B8" s="6">
        <v>4.1</v>
      </c>
      <c r="C8" s="6">
        <f t="shared" si="0"/>
        <v>1479.1083881682086</v>
      </c>
      <c r="D8" s="9">
        <f t="shared" si="1"/>
        <v>0.0014791083881682085</v>
      </c>
      <c r="E8" s="9">
        <f t="shared" si="2"/>
        <v>1.4791083881682086E-06</v>
      </c>
      <c r="F8" s="9">
        <f t="shared" si="3"/>
        <v>4.646756046132284E-06</v>
      </c>
      <c r="G8" s="36">
        <f t="shared" si="4"/>
        <v>0.04646756046132284</v>
      </c>
      <c r="H8" s="6">
        <f t="shared" si="5"/>
        <v>0.0084</v>
      </c>
      <c r="I8" s="6">
        <f t="shared" si="6"/>
        <v>7.1126050015345745</v>
      </c>
      <c r="J8" s="6">
        <f t="shared" si="7"/>
        <v>15.924336037255804</v>
      </c>
      <c r="K8" s="6">
        <v>0.0376</v>
      </c>
      <c r="L8" s="8">
        <f t="shared" si="8"/>
        <v>15.961936037255803</v>
      </c>
      <c r="M8" s="6">
        <f>IF(A8&lt;=3.17,X9,Z9)</f>
        <v>1.5848931924611098E-10</v>
      </c>
      <c r="N8" s="6">
        <f>IF(A8&lt;=3.17,Y9,AA9)</f>
        <v>0.012589254117941664</v>
      </c>
      <c r="O8" s="6">
        <f t="shared" si="9"/>
        <v>4.3151907682776525</v>
      </c>
      <c r="P8" s="6">
        <f t="shared" si="10"/>
        <v>5.3151907682776525</v>
      </c>
      <c r="Q8" s="6">
        <f t="shared" si="11"/>
        <v>28.251252903183982</v>
      </c>
      <c r="R8" s="6">
        <f t="shared" si="12"/>
        <v>4.4775218404753455E-09</v>
      </c>
      <c r="S8" s="8">
        <f t="shared" si="14"/>
        <v>4.0724057176756645</v>
      </c>
      <c r="T8" s="30">
        <f t="shared" si="13"/>
        <v>0.02759428232433514</v>
      </c>
      <c r="U8" s="30">
        <f t="shared" si="15"/>
        <v>4.302405717675665</v>
      </c>
      <c r="V8" s="30"/>
      <c r="W8" s="30"/>
      <c r="X8">
        <f t="shared" si="17"/>
        <v>1.5848931924611098E-10</v>
      </c>
      <c r="Y8">
        <f t="shared" si="18"/>
        <v>0.012589254117941664</v>
      </c>
      <c r="Z8">
        <f t="shared" si="19"/>
        <v>4.466835921509622E-09</v>
      </c>
      <c r="AA8">
        <f t="shared" si="20"/>
        <v>1.2589254117941642E-06</v>
      </c>
    </row>
    <row r="9" spans="1:27" ht="12.75">
      <c r="A9" s="6">
        <f>+A7+1</f>
        <v>4</v>
      </c>
      <c r="B9" s="6">
        <v>3.9</v>
      </c>
      <c r="C9" s="6">
        <f t="shared" si="0"/>
        <v>10000</v>
      </c>
      <c r="D9" s="9">
        <f t="shared" si="1"/>
        <v>0.01</v>
      </c>
      <c r="E9" s="9">
        <f t="shared" si="2"/>
        <v>1E-05</v>
      </c>
      <c r="F9" s="9">
        <f t="shared" si="3"/>
        <v>3.1415926535897935E-05</v>
      </c>
      <c r="G9" s="36">
        <f t="shared" si="4"/>
        <v>0.31415926535897937</v>
      </c>
      <c r="H9" s="6">
        <f t="shared" si="5"/>
        <v>0.0084</v>
      </c>
      <c r="I9" s="6">
        <f t="shared" si="6"/>
        <v>7.1126050015345745</v>
      </c>
      <c r="J9" s="6">
        <f t="shared" si="7"/>
        <v>13.849336037255807</v>
      </c>
      <c r="K9" s="6">
        <v>0.0376</v>
      </c>
      <c r="L9" s="8">
        <f t="shared" si="8"/>
        <v>13.886936037255806</v>
      </c>
      <c r="M9" s="6">
        <f>IF(A9&lt;=3.17,X10,Z10)</f>
        <v>4.466835921509622E-09</v>
      </c>
      <c r="N9" s="6">
        <f>IF(A9&lt;=3.17,Y10,AA10)</f>
        <v>1.2589254117941642E-06</v>
      </c>
      <c r="O9" s="6">
        <f t="shared" si="9"/>
        <v>0.1122018454301962</v>
      </c>
      <c r="P9" s="6">
        <f t="shared" si="10"/>
        <v>1.1122018454301963</v>
      </c>
      <c r="Q9" s="6">
        <f t="shared" si="11"/>
        <v>1.2369929449783343</v>
      </c>
      <c r="R9" s="6">
        <f t="shared" si="12"/>
        <v>5.525444521283199E-09</v>
      </c>
      <c r="S9" s="8">
        <f t="shared" si="14"/>
        <v>3.8440819432588818</v>
      </c>
      <c r="T9" s="30">
        <f t="shared" si="13"/>
        <v>0.05591805674111816</v>
      </c>
      <c r="U9" s="30">
        <f t="shared" si="15"/>
        <v>4.074081943258882</v>
      </c>
      <c r="V9" s="30"/>
      <c r="W9" s="30"/>
      <c r="X9">
        <f t="shared" si="17"/>
        <v>1.5848931924611098E-10</v>
      </c>
      <c r="Y9">
        <f t="shared" si="18"/>
        <v>0.012589254117941664</v>
      </c>
      <c r="Z9">
        <f t="shared" si="19"/>
        <v>4.466835921509622E-09</v>
      </c>
      <c r="AA9">
        <f t="shared" si="20"/>
        <v>1.2589254117941642E-06</v>
      </c>
    </row>
    <row r="10" spans="1:27" ht="12.75">
      <c r="A10" s="6">
        <f>+A9+1</f>
        <v>5</v>
      </c>
      <c r="B10" s="6">
        <v>3.4</v>
      </c>
      <c r="C10" s="6">
        <f t="shared" si="0"/>
        <v>100000</v>
      </c>
      <c r="D10" s="9">
        <f t="shared" si="1"/>
        <v>0.09999999999999999</v>
      </c>
      <c r="E10" s="9">
        <f t="shared" si="2"/>
        <v>9.999999999999999E-05</v>
      </c>
      <c r="F10" s="9">
        <f t="shared" si="3"/>
        <v>0.0003141592653589793</v>
      </c>
      <c r="G10" s="36">
        <f t="shared" si="4"/>
        <v>3.141592653589793</v>
      </c>
      <c r="H10" s="6">
        <f t="shared" si="5"/>
        <v>0.0084</v>
      </c>
      <c r="I10" s="6">
        <f t="shared" si="6"/>
        <v>7.1126050015345745</v>
      </c>
      <c r="J10" s="6">
        <f t="shared" si="7"/>
        <v>11.349336037255807</v>
      </c>
      <c r="K10" s="6">
        <v>0.0376</v>
      </c>
      <c r="L10" s="8">
        <f t="shared" si="8"/>
        <v>11.386936037255806</v>
      </c>
      <c r="M10" s="6">
        <f>IF(A10&lt;=3.17,X11,Z11)</f>
        <v>4.466835921509622E-09</v>
      </c>
      <c r="N10" s="6">
        <f>IF(A10&lt;=3.17,Y11,AA11)</f>
        <v>1.2589254117941642E-06</v>
      </c>
      <c r="O10" s="6">
        <f t="shared" si="9"/>
        <v>0.354813389233575</v>
      </c>
      <c r="P10" s="6">
        <f t="shared" si="10"/>
        <v>1.354813389233575</v>
      </c>
      <c r="Q10" s="6">
        <f t="shared" si="11"/>
        <v>1.8355193196465662</v>
      </c>
      <c r="R10" s="6">
        <f t="shared" si="12"/>
        <v>8.198963631622185E-09</v>
      </c>
      <c r="S10" s="8">
        <f t="shared" si="14"/>
        <v>3.4156025999896897</v>
      </c>
      <c r="T10" s="30">
        <f t="shared" si="13"/>
        <v>-0.015602599989689825</v>
      </c>
      <c r="U10" s="30">
        <f t="shared" si="15"/>
        <v>3.64560259998969</v>
      </c>
      <c r="V10" s="30"/>
      <c r="W10" s="30"/>
      <c r="X10">
        <f t="shared" si="17"/>
        <v>1.5848931924611098E-10</v>
      </c>
      <c r="Y10">
        <f t="shared" si="18"/>
        <v>0.012589254117941664</v>
      </c>
      <c r="Z10">
        <f t="shared" si="19"/>
        <v>4.466835921509622E-09</v>
      </c>
      <c r="AA10">
        <f t="shared" si="20"/>
        <v>1.2589254117941642E-06</v>
      </c>
    </row>
    <row r="11" spans="1:27" ht="12.75">
      <c r="A11" s="6">
        <f>+A10+1</f>
        <v>6</v>
      </c>
      <c r="B11" s="6">
        <v>2.5</v>
      </c>
      <c r="C11" s="6">
        <f t="shared" si="0"/>
        <v>1000000</v>
      </c>
      <c r="D11" s="9">
        <f t="shared" si="1"/>
        <v>1</v>
      </c>
      <c r="E11" s="9">
        <f t="shared" si="2"/>
        <v>0.001</v>
      </c>
      <c r="F11" s="9">
        <f t="shared" si="3"/>
        <v>0.0031415926535897933</v>
      </c>
      <c r="G11" s="36">
        <f t="shared" si="4"/>
        <v>31.415926535897935</v>
      </c>
      <c r="H11" s="6">
        <f t="shared" si="5"/>
        <v>0.0084</v>
      </c>
      <c r="I11" s="6">
        <f t="shared" si="6"/>
        <v>7.1126050015345745</v>
      </c>
      <c r="J11" s="6">
        <f t="shared" si="7"/>
        <v>8.849336037255807</v>
      </c>
      <c r="K11" s="6">
        <v>0.0376</v>
      </c>
      <c r="L11" s="8">
        <f t="shared" si="8"/>
        <v>8.886936037255806</v>
      </c>
      <c r="M11" s="6">
        <f>IF(A11&lt;=3.17,X12,Z12)</f>
        <v>4.466835921509622E-09</v>
      </c>
      <c r="N11" s="6">
        <f>IF(A11&lt;=3.17,Y12,AA12)</f>
        <v>1.2589254117941642E-06</v>
      </c>
      <c r="O11" s="6">
        <f t="shared" si="9"/>
        <v>1.122018454301962</v>
      </c>
      <c r="P11" s="6">
        <f t="shared" si="10"/>
        <v>2.122018454301962</v>
      </c>
      <c r="Q11" s="6">
        <f t="shared" si="11"/>
        <v>4.502962320398088</v>
      </c>
      <c r="R11" s="6">
        <f t="shared" si="12"/>
        <v>2.0113993845958498E-08</v>
      </c>
      <c r="S11" s="8">
        <f t="shared" si="14"/>
        <v>2.4412542177090657</v>
      </c>
      <c r="T11" s="30">
        <f t="shared" si="13"/>
        <v>0.0587457822909343</v>
      </c>
      <c r="U11" s="30">
        <f t="shared" si="15"/>
        <v>2.671254217709066</v>
      </c>
      <c r="V11" s="30"/>
      <c r="W11" s="30"/>
      <c r="X11">
        <f t="shared" si="17"/>
        <v>1.5848931924611098E-10</v>
      </c>
      <c r="Y11">
        <f t="shared" si="18"/>
        <v>0.012589254117941664</v>
      </c>
      <c r="Z11">
        <f t="shared" si="19"/>
        <v>4.466835921509622E-09</v>
      </c>
      <c r="AA11">
        <f t="shared" si="20"/>
        <v>1.2589254117941642E-06</v>
      </c>
    </row>
    <row r="12" spans="1:27" ht="12.75">
      <c r="A12" s="6">
        <f>+A11+1</f>
        <v>7</v>
      </c>
      <c r="B12" s="6">
        <v>0.8</v>
      </c>
      <c r="C12" s="6">
        <f t="shared" si="0"/>
        <v>10000000</v>
      </c>
      <c r="D12" s="9">
        <f t="shared" si="1"/>
        <v>10</v>
      </c>
      <c r="E12" s="9">
        <f t="shared" si="2"/>
        <v>0.01</v>
      </c>
      <c r="F12" s="9">
        <f t="shared" si="3"/>
        <v>0.031415926535897934</v>
      </c>
      <c r="G12" s="36">
        <f t="shared" si="4"/>
        <v>314.1592653589793</v>
      </c>
      <c r="H12" s="6">
        <f t="shared" si="5"/>
        <v>0.0084</v>
      </c>
      <c r="I12" s="6">
        <f t="shared" si="6"/>
        <v>7.1126050015345745</v>
      </c>
      <c r="J12" s="6">
        <f t="shared" si="7"/>
        <v>6.3493360372558065</v>
      </c>
      <c r="K12" s="6">
        <v>0.0376</v>
      </c>
      <c r="L12" s="8">
        <f t="shared" si="8"/>
        <v>6.386936037255807</v>
      </c>
      <c r="M12" s="6">
        <f>IF(A12&lt;=3.17,X13,Z13)</f>
        <v>4.466835921509622E-09</v>
      </c>
      <c r="N12" s="6">
        <f>IF(A12&lt;=3.17,Y13,AA13)</f>
        <v>1.2589254117941642E-06</v>
      </c>
      <c r="O12" s="6">
        <f t="shared" si="9"/>
        <v>3.5481338923357506</v>
      </c>
      <c r="P12" s="6">
        <f t="shared" si="10"/>
        <v>4.54813389233575</v>
      </c>
      <c r="Q12" s="6">
        <f t="shared" si="11"/>
        <v>20.68552190261314</v>
      </c>
      <c r="R12" s="6">
        <f t="shared" si="12"/>
        <v>9.239883228976643E-08</v>
      </c>
      <c r="S12" s="8">
        <f t="shared" si="14"/>
        <v>0.7858337930892141</v>
      </c>
      <c r="T12" s="30">
        <f t="shared" si="13"/>
        <v>0.014166206910785961</v>
      </c>
      <c r="U12" s="30">
        <f t="shared" si="15"/>
        <v>1.0158337930892145</v>
      </c>
      <c r="V12" s="30"/>
      <c r="W12" s="30"/>
      <c r="X12">
        <f t="shared" si="17"/>
        <v>1.5848931924611098E-10</v>
      </c>
      <c r="Y12">
        <f t="shared" si="18"/>
        <v>0.012589254117941664</v>
      </c>
      <c r="Z12">
        <f t="shared" si="19"/>
        <v>4.466835921509622E-09</v>
      </c>
      <c r="AA12">
        <f t="shared" si="20"/>
        <v>1.2589254117941642E-06</v>
      </c>
    </row>
    <row r="13" spans="1:27" ht="12.75">
      <c r="A13" s="6">
        <v>7.4</v>
      </c>
      <c r="B13" s="6">
        <v>0</v>
      </c>
      <c r="C13" s="6">
        <f t="shared" si="0"/>
        <v>25118864.315095898</v>
      </c>
      <c r="D13" s="9">
        <f t="shared" si="1"/>
        <v>25.118864315095898</v>
      </c>
      <c r="E13" s="9">
        <f t="shared" si="2"/>
        <v>0.0251188643150959</v>
      </c>
      <c r="F13" s="9">
        <f t="shared" si="3"/>
        <v>0.07891323959882408</v>
      </c>
      <c r="G13" s="36">
        <f t="shared" si="4"/>
        <v>789.1323959882409</v>
      </c>
      <c r="H13" s="6">
        <f t="shared" si="5"/>
        <v>0.0084</v>
      </c>
      <c r="I13" s="6">
        <f t="shared" si="6"/>
        <v>7.1126050015345745</v>
      </c>
      <c r="J13" s="6">
        <f t="shared" si="7"/>
        <v>5.349336037255801</v>
      </c>
      <c r="K13" s="6">
        <v>0.0376</v>
      </c>
      <c r="L13" s="8">
        <f t="shared" si="8"/>
        <v>5.3869360372558015</v>
      </c>
      <c r="M13" s="6">
        <f>IF(A13&lt;=3.17,X14,Z14)</f>
        <v>4.466835921509622E-09</v>
      </c>
      <c r="N13" s="6">
        <f>IF(A13&lt;=3.17,Y14,AA14)</f>
        <v>1.2589254117941642E-06</v>
      </c>
      <c r="O13" s="6">
        <f t="shared" si="9"/>
        <v>5.623413251903495</v>
      </c>
      <c r="P13" s="6">
        <f t="shared" si="10"/>
        <v>6.623413251903495</v>
      </c>
      <c r="Q13" s="6">
        <f t="shared" si="11"/>
        <v>43.869603105490825</v>
      </c>
      <c r="R13" s="6">
        <f t="shared" si="12"/>
        <v>1.9595831901397647E-07</v>
      </c>
      <c r="S13" s="8">
        <f t="shared" si="14"/>
        <v>-0.030409263247662466</v>
      </c>
      <c r="T13" s="30">
        <f t="shared" si="13"/>
        <v>0.030409263247662466</v>
      </c>
      <c r="U13" s="30">
        <f t="shared" si="15"/>
        <v>0.19959073675233796</v>
      </c>
      <c r="V13" s="30"/>
      <c r="W13" s="30"/>
      <c r="X13">
        <f t="shared" si="17"/>
        <v>1.5848931924611098E-10</v>
      </c>
      <c r="Y13">
        <f t="shared" si="18"/>
        <v>0.012589254117941664</v>
      </c>
      <c r="Z13">
        <f t="shared" si="19"/>
        <v>4.466835921509622E-09</v>
      </c>
      <c r="AA13">
        <f t="shared" si="20"/>
        <v>1.2589254117941642E-06</v>
      </c>
    </row>
    <row r="14" spans="1:27" ht="12.75">
      <c r="A14" s="6">
        <f>+A12+1</f>
        <v>8</v>
      </c>
      <c r="B14" s="6">
        <v>-1.3</v>
      </c>
      <c r="C14" s="6">
        <f t="shared" si="0"/>
        <v>100000000</v>
      </c>
      <c r="D14" s="9">
        <f t="shared" si="1"/>
        <v>100</v>
      </c>
      <c r="E14" s="9">
        <f t="shared" si="2"/>
        <v>0.1</v>
      </c>
      <c r="F14" s="9">
        <f t="shared" si="3"/>
        <v>0.3141592653589793</v>
      </c>
      <c r="G14" s="36">
        <f t="shared" si="4"/>
        <v>3141.592653589793</v>
      </c>
      <c r="H14" s="6">
        <f t="shared" si="5"/>
        <v>0.0084</v>
      </c>
      <c r="I14" s="6">
        <f t="shared" si="6"/>
        <v>7.1126050015345745</v>
      </c>
      <c r="J14" s="6">
        <f t="shared" si="7"/>
        <v>3.849336037255806</v>
      </c>
      <c r="K14" s="6">
        <v>0.0376</v>
      </c>
      <c r="L14" s="8">
        <f t="shared" si="8"/>
        <v>3.886936037255806</v>
      </c>
      <c r="M14" s="6">
        <f>IF(A14&lt;=3.17,X15,Z15)</f>
        <v>4.466835921509622E-09</v>
      </c>
      <c r="N14" s="6">
        <f>IF(A14&lt;=3.17,Y15,AA15)</f>
        <v>1.2589254117941642E-06</v>
      </c>
      <c r="O14" s="6">
        <f t="shared" si="9"/>
        <v>11.220184543019622</v>
      </c>
      <c r="P14" s="6">
        <f t="shared" si="10"/>
        <v>12.220184543019622</v>
      </c>
      <c r="Q14" s="6">
        <f t="shared" si="11"/>
        <v>149.3329102654557</v>
      </c>
      <c r="R14" s="6">
        <f t="shared" si="12"/>
        <v>6.670456078373105E-07</v>
      </c>
      <c r="S14" s="8">
        <f t="shared" si="14"/>
        <v>-1.360388822253599</v>
      </c>
      <c r="T14" s="30">
        <f t="shared" si="13"/>
        <v>0.06038882225359887</v>
      </c>
      <c r="U14" s="30">
        <f t="shared" si="15"/>
        <v>-1.1303888222535985</v>
      </c>
      <c r="V14" s="30"/>
      <c r="W14" s="30"/>
      <c r="X14">
        <f t="shared" si="17"/>
        <v>1.5848931924611098E-10</v>
      </c>
      <c r="Y14">
        <f t="shared" si="18"/>
        <v>0.012589254117941664</v>
      </c>
      <c r="Z14">
        <f t="shared" si="19"/>
        <v>4.466835921509622E-09</v>
      </c>
      <c r="AA14">
        <f t="shared" si="20"/>
        <v>1.2589254117941642E-06</v>
      </c>
    </row>
    <row r="15" spans="1:27" ht="12.75">
      <c r="A15" s="6">
        <f>+A14+1</f>
        <v>9</v>
      </c>
      <c r="B15" s="6">
        <v>-3.7</v>
      </c>
      <c r="C15" s="6">
        <f t="shared" si="0"/>
        <v>1000000000</v>
      </c>
      <c r="D15" s="9">
        <f t="shared" si="1"/>
        <v>1000</v>
      </c>
      <c r="E15" s="9">
        <f t="shared" si="2"/>
        <v>1</v>
      </c>
      <c r="F15" s="9">
        <f t="shared" si="3"/>
        <v>3.141592653589793</v>
      </c>
      <c r="G15" s="36">
        <f t="shared" si="4"/>
        <v>31415.926535897932</v>
      </c>
      <c r="H15" s="6">
        <f t="shared" si="5"/>
        <v>0.0084</v>
      </c>
      <c r="I15" s="6">
        <f t="shared" si="6"/>
        <v>7.1126050015345745</v>
      </c>
      <c r="J15" s="6">
        <f t="shared" si="7"/>
        <v>1.349336037255806</v>
      </c>
      <c r="K15" s="6">
        <v>0.0376</v>
      </c>
      <c r="L15" s="8">
        <f t="shared" si="8"/>
        <v>1.3869360372558062</v>
      </c>
      <c r="M15" s="6">
        <f>IF(A15&lt;=3.17,X16,Z16)</f>
        <v>4.466835921509622E-09</v>
      </c>
      <c r="N15" s="6">
        <f>IF(A15&lt;=3.17,Y16,AA16)</f>
        <v>1.2589254117941642E-06</v>
      </c>
      <c r="O15" s="6">
        <f t="shared" si="9"/>
        <v>35.481338923357505</v>
      </c>
      <c r="P15" s="6">
        <f t="shared" si="10"/>
        <v>36.481338923357505</v>
      </c>
      <c r="Q15" s="6">
        <f t="shared" si="11"/>
        <v>1330.8880896408793</v>
      </c>
      <c r="R15" s="6">
        <f t="shared" si="12"/>
        <v>5.944858726317198E-06</v>
      </c>
      <c r="S15" s="8">
        <f t="shared" si="14"/>
        <v>-3.7353538462472127</v>
      </c>
      <c r="T15" s="30">
        <f t="shared" si="13"/>
        <v>0.035353846247212495</v>
      </c>
      <c r="U15" s="30">
        <f t="shared" si="15"/>
        <v>-3.5053538462472122</v>
      </c>
      <c r="V15" s="30"/>
      <c r="W15" s="30"/>
      <c r="X15">
        <f t="shared" si="17"/>
        <v>1.5848931924611098E-10</v>
      </c>
      <c r="Y15">
        <f t="shared" si="18"/>
        <v>0.012589254117941664</v>
      </c>
      <c r="Z15">
        <f t="shared" si="19"/>
        <v>4.466835921509622E-09</v>
      </c>
      <c r="AA15">
        <f t="shared" si="20"/>
        <v>1.2589254117941642E-06</v>
      </c>
    </row>
    <row r="16" spans="1:27" ht="12.75">
      <c r="A16" s="6">
        <f>+A15+1</f>
        <v>10</v>
      </c>
      <c r="B16" s="6">
        <v>-6.2</v>
      </c>
      <c r="C16" s="6">
        <f t="shared" si="0"/>
        <v>10000000000</v>
      </c>
      <c r="D16" s="9">
        <f t="shared" si="1"/>
        <v>10000</v>
      </c>
      <c r="E16" s="9">
        <f t="shared" si="2"/>
        <v>10</v>
      </c>
      <c r="F16" s="9">
        <f t="shared" si="3"/>
        <v>31.41592653589793</v>
      </c>
      <c r="G16" s="36">
        <f t="shared" si="4"/>
        <v>314159.2653589793</v>
      </c>
      <c r="H16" s="6">
        <f t="shared" si="5"/>
        <v>0.0084</v>
      </c>
      <c r="I16" s="6">
        <f t="shared" si="6"/>
        <v>7.1126050015345745</v>
      </c>
      <c r="J16" s="6">
        <f t="shared" si="7"/>
        <v>-1.150663962744194</v>
      </c>
      <c r="K16" s="6">
        <v>0.0376</v>
      </c>
      <c r="L16" s="8">
        <f t="shared" si="8"/>
        <v>-1.1130639627441938</v>
      </c>
      <c r="M16" s="6">
        <f>IF(A16&lt;=3.17,X17,Z17)</f>
        <v>4.466835921509622E-09</v>
      </c>
      <c r="N16" s="6">
        <f>IF(A16&lt;=3.17,Y17,AA17)</f>
        <v>1.2589254117941642E-06</v>
      </c>
      <c r="O16" s="6">
        <f t="shared" si="9"/>
        <v>112.20184543019622</v>
      </c>
      <c r="P16" s="6">
        <f t="shared" si="10"/>
        <v>113.20184543019622</v>
      </c>
      <c r="Q16" s="6">
        <f t="shared" si="11"/>
        <v>12814.657808802036</v>
      </c>
      <c r="R16" s="6">
        <f t="shared" si="12"/>
        <v>5.724097382221072E-05</v>
      </c>
      <c r="S16" s="8">
        <f t="shared" si="14"/>
        <v>-6.194267534156058</v>
      </c>
      <c r="T16" s="30">
        <f t="shared" si="13"/>
        <v>-0.005732465843942158</v>
      </c>
      <c r="U16" s="30">
        <f t="shared" si="15"/>
        <v>-5.964267534156058</v>
      </c>
      <c r="V16" s="30"/>
      <c r="W16" s="30"/>
      <c r="X16">
        <f t="shared" si="17"/>
        <v>1.5848931924611098E-10</v>
      </c>
      <c r="Y16">
        <f t="shared" si="18"/>
        <v>0.012589254117941664</v>
      </c>
      <c r="Z16">
        <f t="shared" si="19"/>
        <v>4.466835921509622E-09</v>
      </c>
      <c r="AA16">
        <f t="shared" si="20"/>
        <v>1.2589254117941642E-06</v>
      </c>
    </row>
    <row r="17" spans="1:27" ht="12.75">
      <c r="A17" s="6">
        <v>12.53</v>
      </c>
      <c r="B17" s="6">
        <v>-12.53</v>
      </c>
      <c r="C17" s="6">
        <f t="shared" si="0"/>
        <v>3388441561392.0293</v>
      </c>
      <c r="D17" s="9">
        <f t="shared" si="1"/>
        <v>3388441.5613920293</v>
      </c>
      <c r="E17" s="9">
        <f t="shared" si="2"/>
        <v>3388.441561392029</v>
      </c>
      <c r="F17" s="9">
        <f t="shared" si="3"/>
        <v>10645.103116387527</v>
      </c>
      <c r="G17" s="36">
        <f t="shared" si="4"/>
        <v>106451031.16387527</v>
      </c>
      <c r="H17" s="6">
        <f t="shared" si="5"/>
        <v>0.0084</v>
      </c>
      <c r="I17" s="6">
        <f t="shared" si="6"/>
        <v>7.1126050015345745</v>
      </c>
      <c r="J17" s="6">
        <f t="shared" si="7"/>
        <v>-7.475663962744196</v>
      </c>
      <c r="K17" s="6">
        <v>0.0376</v>
      </c>
      <c r="L17" s="8">
        <f t="shared" si="8"/>
        <v>-7.438063962744196</v>
      </c>
      <c r="M17" s="6">
        <f>IF(A17&lt;=3.17,X18,Z18)</f>
        <v>4.466835921509622E-09</v>
      </c>
      <c r="N17" s="6">
        <f>IF(A17&lt;=3.17,Y18,AA18)</f>
        <v>1.2589254117941642E-06</v>
      </c>
      <c r="O17" s="6">
        <f t="shared" si="9"/>
        <v>2065.380155810528</v>
      </c>
      <c r="P17" s="6">
        <f t="shared" si="10"/>
        <v>2066.380155810528</v>
      </c>
      <c r="Q17" s="6">
        <f t="shared" si="11"/>
        <v>4269926.948327541</v>
      </c>
      <c r="R17" s="6">
        <f t="shared" si="12"/>
        <v>0.019073063075011422</v>
      </c>
      <c r="S17" s="8">
        <f t="shared" si="14"/>
        <v>-12.501051112498372</v>
      </c>
      <c r="T17" s="30">
        <f t="shared" si="13"/>
        <v>-0.028948887501627496</v>
      </c>
      <c r="U17" s="30">
        <f t="shared" si="15"/>
        <v>-12.271051112498371</v>
      </c>
      <c r="V17" s="30"/>
      <c r="W17" s="30"/>
      <c r="X17">
        <f t="shared" si="17"/>
        <v>1.5848931924611098E-10</v>
      </c>
      <c r="Y17">
        <f t="shared" si="18"/>
        <v>0.012589254117941664</v>
      </c>
      <c r="Z17">
        <f t="shared" si="19"/>
        <v>4.466835921509622E-09</v>
      </c>
      <c r="AA17">
        <f t="shared" si="20"/>
        <v>1.2589254117941642E-06</v>
      </c>
    </row>
    <row r="18" spans="24:27" ht="12.75">
      <c r="X18">
        <f t="shared" si="17"/>
        <v>1.5848931924611098E-10</v>
      </c>
      <c r="Y18">
        <f t="shared" si="18"/>
        <v>0.012589254117941664</v>
      </c>
      <c r="Z18">
        <f t="shared" si="19"/>
        <v>4.466835921509622E-09</v>
      </c>
      <c r="AA18">
        <f t="shared" si="20"/>
        <v>1.2589254117941642E-06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H163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 s="16" t="s">
        <v>242</v>
      </c>
      <c r="B1" s="3"/>
      <c r="C1" s="3"/>
      <c r="D1" s="3"/>
      <c r="E1" s="3"/>
      <c r="F1" s="3"/>
      <c r="G1" s="3"/>
      <c r="H1" s="3"/>
    </row>
    <row r="2" ht="12.75">
      <c r="A2" s="4"/>
    </row>
    <row r="3" ht="12.75">
      <c r="A3" s="4" t="s">
        <v>243</v>
      </c>
    </row>
    <row r="4" ht="12.75">
      <c r="A4" s="4"/>
    </row>
    <row r="5" spans="1:6" ht="12.75">
      <c r="A5" t="s">
        <v>12</v>
      </c>
      <c r="F5" s="1"/>
    </row>
    <row r="6" spans="1:6" ht="12.75">
      <c r="A6" t="s">
        <v>11</v>
      </c>
      <c r="F6" s="1"/>
    </row>
    <row r="7" spans="1:6" ht="12.75">
      <c r="A7" t="s">
        <v>13</v>
      </c>
      <c r="F7" s="1"/>
    </row>
    <row r="8" spans="1:5" ht="12.75">
      <c r="A8" t="s">
        <v>14</v>
      </c>
      <c r="C8" t="s">
        <v>209</v>
      </c>
      <c r="E8" s="1"/>
    </row>
    <row r="9" spans="1:5" ht="12.75">
      <c r="A9" t="s">
        <v>213</v>
      </c>
      <c r="E9" s="1"/>
    </row>
    <row r="10" spans="1:5" ht="12.75">
      <c r="A10" t="s">
        <v>6</v>
      </c>
      <c r="E10" s="1" t="s">
        <v>212</v>
      </c>
    </row>
    <row r="11" spans="1:5" ht="12.75">
      <c r="A11" t="s">
        <v>8</v>
      </c>
      <c r="E11" s="1"/>
    </row>
    <row r="12" ht="12.75">
      <c r="E12" s="1"/>
    </row>
    <row r="13" spans="1:5" ht="12.75">
      <c r="A13" s="4" t="s">
        <v>244</v>
      </c>
      <c r="E13" s="1"/>
    </row>
    <row r="14" spans="1:5" ht="12.75">
      <c r="A14" s="4"/>
      <c r="E14" s="1"/>
    </row>
    <row r="15" spans="1:5" ht="12.75">
      <c r="A15" t="s">
        <v>214</v>
      </c>
      <c r="E15" s="1"/>
    </row>
    <row r="17" ht="12.75">
      <c r="A17" s="4" t="s">
        <v>245</v>
      </c>
    </row>
    <row r="19" ht="12.75">
      <c r="A19" s="6" t="s">
        <v>215</v>
      </c>
    </row>
    <row r="20" ht="12.75">
      <c r="A20" s="4"/>
    </row>
    <row r="21" ht="12.75">
      <c r="A21" s="4" t="s">
        <v>210</v>
      </c>
    </row>
    <row r="22" ht="12.75">
      <c r="B22" t="s">
        <v>214</v>
      </c>
    </row>
    <row r="23" ht="12.75">
      <c r="A23" s="4" t="s">
        <v>211</v>
      </c>
    </row>
    <row r="24" ht="12.75">
      <c r="B24" s="6" t="s">
        <v>216</v>
      </c>
    </row>
    <row r="25" ht="12.75">
      <c r="B25" s="6" t="s">
        <v>217</v>
      </c>
    </row>
    <row r="26" ht="12.75">
      <c r="B26" s="6" t="s">
        <v>218</v>
      </c>
    </row>
    <row r="27" ht="12.75">
      <c r="B27" s="6" t="s">
        <v>219</v>
      </c>
    </row>
    <row r="28" ht="12.75">
      <c r="B28" s="6" t="s">
        <v>220</v>
      </c>
    </row>
    <row r="29" ht="12.75">
      <c r="B29" s="6" t="s">
        <v>215</v>
      </c>
    </row>
    <row r="32" spans="1:8" ht="12.75">
      <c r="A32" s="16" t="s">
        <v>271</v>
      </c>
      <c r="B32" s="3"/>
      <c r="C32" s="3"/>
      <c r="D32" s="3"/>
      <c r="E32" s="3"/>
      <c r="F32" s="3"/>
      <c r="G32" s="3"/>
      <c r="H32" s="3"/>
    </row>
    <row r="33" ht="12.75">
      <c r="A33" s="4"/>
    </row>
    <row r="34" ht="12.75">
      <c r="A34" s="4" t="s">
        <v>246</v>
      </c>
    </row>
    <row r="35" ht="12.75">
      <c r="A35" s="4"/>
    </row>
    <row r="36" ht="12.75">
      <c r="B36" t="s">
        <v>176</v>
      </c>
    </row>
    <row r="37" ht="12.75">
      <c r="B37" t="s">
        <v>177</v>
      </c>
    </row>
    <row r="38" spans="2:6" ht="12.75">
      <c r="B38" t="s">
        <v>178</v>
      </c>
      <c r="F38" t="s">
        <v>260</v>
      </c>
    </row>
    <row r="40" ht="12.75">
      <c r="A40" s="4" t="s">
        <v>247</v>
      </c>
    </row>
    <row r="41" ht="12.75">
      <c r="B41" t="s">
        <v>240</v>
      </c>
    </row>
    <row r="42" spans="2:4" ht="12.75">
      <c r="B42" t="s">
        <v>179</v>
      </c>
      <c r="D42" t="s">
        <v>323</v>
      </c>
    </row>
    <row r="43" spans="2:4" ht="12.75">
      <c r="B43" t="s">
        <v>180</v>
      </c>
      <c r="C43" s="6">
        <v>-9.8</v>
      </c>
      <c r="D43" s="6">
        <f>10^C43</f>
        <v>1.5848931924611098E-10</v>
      </c>
    </row>
    <row r="44" spans="2:4" ht="12.75">
      <c r="B44" s="6" t="s">
        <v>182</v>
      </c>
      <c r="C44" s="6">
        <v>-1.9</v>
      </c>
      <c r="D44" s="6">
        <f>10^C44</f>
        <v>0.012589254117941664</v>
      </c>
    </row>
    <row r="45" ht="12.75">
      <c r="B45" s="6"/>
    </row>
    <row r="46" ht="12.75">
      <c r="A46" s="4" t="s">
        <v>248</v>
      </c>
    </row>
    <row r="47" ht="12.75">
      <c r="A47" s="4"/>
    </row>
    <row r="48" ht="12.75">
      <c r="B48" t="s">
        <v>346</v>
      </c>
    </row>
    <row r="49" ht="12.75">
      <c r="B49" t="s">
        <v>187</v>
      </c>
    </row>
    <row r="51" ht="12.75">
      <c r="B51" t="s">
        <v>347</v>
      </c>
    </row>
    <row r="52" ht="12.75">
      <c r="B52" t="s">
        <v>189</v>
      </c>
    </row>
    <row r="54" ht="12.75">
      <c r="A54" s="4" t="s">
        <v>249</v>
      </c>
    </row>
    <row r="56" spans="1:2" ht="12.75">
      <c r="A56" t="s">
        <v>241</v>
      </c>
      <c r="B56" s="5">
        <f>LOG(B57)</f>
        <v>3.1699681739968923</v>
      </c>
    </row>
    <row r="57" spans="1:2" ht="12.75">
      <c r="A57" t="s">
        <v>181</v>
      </c>
      <c r="B57" s="6">
        <v>1479</v>
      </c>
    </row>
    <row r="58" spans="1:2" ht="12.75">
      <c r="A58" t="s">
        <v>180</v>
      </c>
      <c r="B58" s="6">
        <v>1.5848931924611098E-10</v>
      </c>
    </row>
    <row r="59" spans="1:2" ht="12.75">
      <c r="A59" t="s">
        <v>182</v>
      </c>
      <c r="B59" s="6">
        <v>0.012589254117941664</v>
      </c>
    </row>
    <row r="60" spans="1:2" ht="12.75">
      <c r="A60" t="s">
        <v>183</v>
      </c>
      <c r="B60" s="6">
        <f>SQRT(B59*B57)</f>
        <v>4.31503265809608</v>
      </c>
    </row>
    <row r="61" spans="1:2" ht="12.75">
      <c r="A61" t="s">
        <v>184</v>
      </c>
      <c r="B61" s="6">
        <f>1+B60</f>
        <v>5.31503265809608</v>
      </c>
    </row>
    <row r="62" spans="1:2" ht="12.75">
      <c r="A62" t="s">
        <v>185</v>
      </c>
      <c r="B62" s="6">
        <f>+B61^2</f>
        <v>28.249572156627885</v>
      </c>
    </row>
    <row r="63" spans="1:2" ht="12.75">
      <c r="A63" t="s">
        <v>186</v>
      </c>
      <c r="B63" s="6">
        <f>B62*B58</f>
        <v>4.477255460097845E-09</v>
      </c>
    </row>
    <row r="64" ht="12.75">
      <c r="B64" s="6"/>
    </row>
    <row r="65" spans="1:6" ht="12.75">
      <c r="A65" t="s">
        <v>187</v>
      </c>
      <c r="B65" s="6"/>
      <c r="F65" t="s">
        <v>344</v>
      </c>
    </row>
    <row r="66" spans="1:2" ht="12.75">
      <c r="A66" t="s">
        <v>188</v>
      </c>
      <c r="B66" s="8">
        <f>-16.57-(2.5*LOG(B63,10))</f>
        <v>4.302470313100088</v>
      </c>
    </row>
    <row r="67" spans="1:6" ht="12.75">
      <c r="A67" t="s">
        <v>189</v>
      </c>
      <c r="B67" s="6"/>
      <c r="F67" t="s">
        <v>345</v>
      </c>
    </row>
    <row r="68" spans="1:2" ht="12.75">
      <c r="A68" t="s">
        <v>190</v>
      </c>
      <c r="B68" s="8">
        <f>-16.8-(2.5*LOG(B63,10))</f>
        <v>4.072470313100087</v>
      </c>
    </row>
    <row r="70" spans="1:8" ht="12.75">
      <c r="A70" s="16" t="s">
        <v>287</v>
      </c>
      <c r="B70" s="3"/>
      <c r="C70" s="3"/>
      <c r="D70" s="3"/>
      <c r="E70" s="3"/>
      <c r="F70" s="3"/>
      <c r="G70" s="3"/>
      <c r="H70" s="3"/>
    </row>
    <row r="72" ht="12.75">
      <c r="A72" t="s">
        <v>284</v>
      </c>
    </row>
    <row r="73" ht="12.75">
      <c r="A73" t="s">
        <v>285</v>
      </c>
    </row>
    <row r="74" ht="12.75">
      <c r="A74" s="17" t="s">
        <v>286</v>
      </c>
    </row>
    <row r="75" ht="12.75">
      <c r="A75" s="17"/>
    </row>
    <row r="76" ht="12.75">
      <c r="A76" s="17" t="s">
        <v>289</v>
      </c>
    </row>
    <row r="77" ht="12.75">
      <c r="A77" s="17"/>
    </row>
    <row r="78" ht="12.75">
      <c r="A78" s="17" t="s">
        <v>290</v>
      </c>
    </row>
    <row r="80" ht="12.75">
      <c r="A80" t="s">
        <v>280</v>
      </c>
    </row>
    <row r="82" ht="12.75">
      <c r="A82" t="s">
        <v>275</v>
      </c>
    </row>
    <row r="84" ht="12.75">
      <c r="A84" t="s">
        <v>283</v>
      </c>
    </row>
    <row r="85" ht="12.75">
      <c r="A85" s="38" t="s">
        <v>272</v>
      </c>
    </row>
    <row r="87" ht="12.75">
      <c r="A87" t="s">
        <v>273</v>
      </c>
    </row>
    <row r="88" ht="12.75">
      <c r="A88" s="38" t="s">
        <v>274</v>
      </c>
    </row>
    <row r="89" ht="12.75">
      <c r="A89" s="38" t="s">
        <v>278</v>
      </c>
    </row>
    <row r="91" ht="12.75">
      <c r="A91" t="s">
        <v>276</v>
      </c>
    </row>
    <row r="92" ht="12.75">
      <c r="A92" s="38" t="s">
        <v>279</v>
      </c>
    </row>
    <row r="93" ht="12.75">
      <c r="A93" s="38" t="s">
        <v>277</v>
      </c>
    </row>
    <row r="95" spans="1:4" ht="12.75">
      <c r="A95" s="16" t="s">
        <v>343</v>
      </c>
      <c r="B95" s="16"/>
      <c r="C95" s="16"/>
      <c r="D95" s="16"/>
    </row>
    <row r="97" ht="12.75">
      <c r="A97" t="s">
        <v>291</v>
      </c>
    </row>
    <row r="98" ht="12.75">
      <c r="A98" s="38" t="s">
        <v>292</v>
      </c>
    </row>
    <row r="100" ht="12.75">
      <c r="A100" t="s">
        <v>293</v>
      </c>
    </row>
    <row r="101" spans="1:3" ht="12.75">
      <c r="A101" t="s">
        <v>297</v>
      </c>
      <c r="C101" t="s">
        <v>299</v>
      </c>
    </row>
    <row r="102" ht="12.75">
      <c r="C102" t="s">
        <v>298</v>
      </c>
    </row>
    <row r="103" ht="12.75">
      <c r="A103" t="s">
        <v>294</v>
      </c>
    </row>
    <row r="104" spans="1:3" ht="12.75">
      <c r="A104" t="s">
        <v>296</v>
      </c>
      <c r="C104" t="s">
        <v>300</v>
      </c>
    </row>
    <row r="105" ht="12.75">
      <c r="C105" t="s">
        <v>301</v>
      </c>
    </row>
    <row r="106" ht="12.75">
      <c r="A106" t="s">
        <v>295</v>
      </c>
    </row>
    <row r="107" ht="12.75">
      <c r="A107" t="s">
        <v>302</v>
      </c>
    </row>
    <row r="109" ht="12.75">
      <c r="A109" t="s">
        <v>309</v>
      </c>
    </row>
    <row r="110" ht="12.75">
      <c r="A110" t="s">
        <v>310</v>
      </c>
    </row>
    <row r="111" ht="12.75">
      <c r="A111" t="s">
        <v>311</v>
      </c>
    </row>
    <row r="112" ht="12.75">
      <c r="A112" t="s">
        <v>312</v>
      </c>
    </row>
    <row r="114" ht="12.75">
      <c r="A114" t="s">
        <v>313</v>
      </c>
    </row>
    <row r="115" ht="12.75">
      <c r="A115" t="s">
        <v>314</v>
      </c>
    </row>
    <row r="116" ht="12.75">
      <c r="A116" t="s">
        <v>315</v>
      </c>
    </row>
    <row r="117" ht="12.75">
      <c r="A117" t="s">
        <v>316</v>
      </c>
    </row>
    <row r="119" ht="12.75">
      <c r="A119" t="s">
        <v>317</v>
      </c>
    </row>
    <row r="120" ht="12.75">
      <c r="A120" t="s">
        <v>318</v>
      </c>
    </row>
    <row r="121" ht="12.75">
      <c r="A121" t="s">
        <v>319</v>
      </c>
    </row>
    <row r="122" ht="12.75">
      <c r="A122" t="s">
        <v>320</v>
      </c>
    </row>
    <row r="123" ht="12.75">
      <c r="A123" t="s">
        <v>321</v>
      </c>
    </row>
    <row r="125" ht="12.75">
      <c r="A125" t="s">
        <v>324</v>
      </c>
    </row>
    <row r="126" ht="12.75">
      <c r="A126" t="s">
        <v>325</v>
      </c>
    </row>
    <row r="128" ht="12.75">
      <c r="A128" t="s">
        <v>326</v>
      </c>
    </row>
    <row r="129" ht="12.75">
      <c r="A129" t="s">
        <v>327</v>
      </c>
    </row>
    <row r="130" ht="12.75">
      <c r="A130" t="s">
        <v>328</v>
      </c>
    </row>
    <row r="132" ht="12.75">
      <c r="A132" t="s">
        <v>329</v>
      </c>
    </row>
    <row r="133" ht="12.75">
      <c r="A133" t="s">
        <v>330</v>
      </c>
    </row>
    <row r="135" ht="12.75">
      <c r="A135" t="s">
        <v>331</v>
      </c>
    </row>
    <row r="136" ht="12.75">
      <c r="A136" t="s">
        <v>332</v>
      </c>
    </row>
    <row r="137" ht="12.75">
      <c r="A137" t="s">
        <v>333</v>
      </c>
    </row>
    <row r="139" ht="12.75">
      <c r="A139" t="s">
        <v>334</v>
      </c>
    </row>
    <row r="141" ht="12.75">
      <c r="A141" t="s">
        <v>335</v>
      </c>
    </row>
    <row r="143" ht="12.75">
      <c r="A143" t="s">
        <v>336</v>
      </c>
    </row>
    <row r="144" ht="12.75">
      <c r="A144" t="s">
        <v>337</v>
      </c>
    </row>
    <row r="146" ht="12.75">
      <c r="A146" t="s">
        <v>338</v>
      </c>
    </row>
    <row r="147" ht="12.75">
      <c r="A147" t="s">
        <v>339</v>
      </c>
    </row>
    <row r="149" ht="12.75">
      <c r="A149" t="s">
        <v>283</v>
      </c>
    </row>
    <row r="150" ht="12.75">
      <c r="A150" s="38" t="s">
        <v>272</v>
      </c>
    </row>
    <row r="152" ht="12.75">
      <c r="A152" t="s">
        <v>273</v>
      </c>
    </row>
    <row r="153" ht="12.75">
      <c r="A153" s="38" t="s">
        <v>274</v>
      </c>
    </row>
    <row r="154" ht="12.75">
      <c r="A154" s="38" t="s">
        <v>278</v>
      </c>
    </row>
    <row r="156" ht="12.75">
      <c r="A156" t="s">
        <v>276</v>
      </c>
    </row>
    <row r="157" ht="12.75">
      <c r="A157" s="38" t="s">
        <v>279</v>
      </c>
    </row>
    <row r="158" ht="12.75">
      <c r="A158" s="38" t="s">
        <v>277</v>
      </c>
    </row>
    <row r="160" ht="12.75">
      <c r="A160" t="s">
        <v>340</v>
      </c>
    </row>
    <row r="162" ht="12.75">
      <c r="A162" t="s">
        <v>341</v>
      </c>
    </row>
    <row r="163" ht="12.75">
      <c r="A163" t="s">
        <v>342</v>
      </c>
    </row>
  </sheetData>
  <hyperlinks>
    <hyperlink ref="A85" r:id="rId1" display="http://web.telia.com/~u41105032/visual/Schaefer.htm"/>
    <hyperlink ref="A88" r:id="rId2" display="http://unihedron.com/projects/darksky/faq.php"/>
    <hyperlink ref="A89" r:id="rId3" display="http://unihedron.com/projects/darksky/images/MPSASvsNELM.jpg"/>
    <hyperlink ref="A92" r:id="rId4" display="http://members.csolutions.net/fisherka/astronote/plan/tlmnelm/LimitMagFields.htm"/>
    <hyperlink ref="A93" r:id="rId5" display="http://members.csolutions.net/fisherka/astronote/plan/tlmnelm/html/NELM2BCalc.html"/>
    <hyperlink ref="A98" r:id="rId6" display="http://www.clarkvision.com/visastro/appendix-e.html"/>
    <hyperlink ref="A150" r:id="rId7" display="http://web.telia.com/~u41105032/visual/Schaefer.htm"/>
    <hyperlink ref="A153" r:id="rId8" display="http://unihedron.com/projects/darksky/faq.php"/>
    <hyperlink ref="A154" r:id="rId9" display="http://unihedron.com/projects/darksky/images/MPSASvsNELM.jpg"/>
    <hyperlink ref="A157" r:id="rId10" display="http://members.csolutions.net/fisherka/astronote/plan/tlmnelm/LimitMagFields.htm"/>
    <hyperlink ref="A158" r:id="rId11" display="http://members.csolutions.net/fisherka/astronote/plan/tlmnelm/html/NELM2BCalc.html"/>
  </hyperlinks>
  <printOptions/>
  <pageMargins left="0.75" right="0.75" top="1" bottom="1" header="0.5" footer="0.5"/>
  <pageSetup horizontalDpi="600" verticalDpi="600" orientation="portrait" r:id="rId1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H46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bestFit="1" customWidth="1"/>
    <col min="2" max="2" width="12.421875" style="0" bestFit="1" customWidth="1"/>
    <col min="4" max="5" width="9.28125" style="0" bestFit="1" customWidth="1"/>
    <col min="7" max="7" width="12.421875" style="0" bestFit="1" customWidth="1"/>
  </cols>
  <sheetData>
    <row r="1" ht="12.75">
      <c r="A1" s="4" t="s">
        <v>126</v>
      </c>
    </row>
    <row r="3" ht="12.75">
      <c r="A3" s="4" t="s">
        <v>127</v>
      </c>
    </row>
    <row r="4" spans="1:7" ht="12.75">
      <c r="A4" s="4" t="s">
        <v>22</v>
      </c>
      <c r="B4" s="4" t="s">
        <v>128</v>
      </c>
      <c r="C4" s="4"/>
      <c r="D4" s="4" t="s">
        <v>129</v>
      </c>
      <c r="E4" s="4"/>
      <c r="G4" s="4" t="s">
        <v>130</v>
      </c>
    </row>
    <row r="5" spans="1:7" ht="12.75">
      <c r="A5" s="6">
        <v>1190</v>
      </c>
      <c r="B5" s="6">
        <f>E39</f>
        <v>92575.07920038098</v>
      </c>
      <c r="C5" s="6"/>
      <c r="D5" s="23" t="s">
        <v>131</v>
      </c>
      <c r="E5" s="6"/>
      <c r="F5" s="6"/>
      <c r="G5" s="5">
        <f>-2.5*(LOG(A5/B5))</f>
        <v>4.72736782719825</v>
      </c>
    </row>
    <row r="7" ht="12.75">
      <c r="A7" s="4" t="s">
        <v>132</v>
      </c>
    </row>
    <row r="8" spans="1:7" ht="12.75">
      <c r="A8" s="4" t="s">
        <v>130</v>
      </c>
      <c r="B8" s="4" t="s">
        <v>128</v>
      </c>
      <c r="D8" s="4" t="s">
        <v>129</v>
      </c>
      <c r="G8" s="4" t="s">
        <v>22</v>
      </c>
    </row>
    <row r="9" spans="1:7" ht="12.75">
      <c r="A9" s="5">
        <v>4.72736782719825</v>
      </c>
      <c r="B9" s="6">
        <f>E39</f>
        <v>92575.07920038098</v>
      </c>
      <c r="C9" s="6"/>
      <c r="D9" t="s">
        <v>133</v>
      </c>
      <c r="E9" s="6"/>
      <c r="F9" s="6"/>
      <c r="G9" s="6">
        <f>B9*(10^(A9/-2.5))</f>
        <v>1189.9999999999989</v>
      </c>
    </row>
    <row r="11" ht="12.75">
      <c r="A11" s="4" t="s">
        <v>134</v>
      </c>
    </row>
    <row r="12" spans="1:5" ht="12.75">
      <c r="A12" s="4" t="s">
        <v>135</v>
      </c>
      <c r="C12" s="4" t="s">
        <v>136</v>
      </c>
      <c r="D12" s="4"/>
      <c r="E12" s="4" t="s">
        <v>137</v>
      </c>
    </row>
    <row r="13" spans="1:8" ht="12.75">
      <c r="A13" s="4" t="s">
        <v>148</v>
      </c>
      <c r="B13" s="4" t="s">
        <v>149</v>
      </c>
      <c r="C13" s="24" t="s">
        <v>150</v>
      </c>
      <c r="D13" s="4" t="s">
        <v>151</v>
      </c>
      <c r="E13" s="4" t="s">
        <v>161</v>
      </c>
      <c r="G13" s="4" t="s">
        <v>157</v>
      </c>
      <c r="H13" s="17"/>
    </row>
    <row r="14" spans="1:7" ht="12.75">
      <c r="A14" s="6">
        <v>1000</v>
      </c>
      <c r="B14" s="6">
        <v>6.91427593943014E-06</v>
      </c>
      <c r="C14" s="6"/>
      <c r="D14" s="6">
        <v>21.986</v>
      </c>
      <c r="E14" s="8">
        <f aca="true" t="shared" si="0" ref="E14:E28">-2.5*(LOG(A14/B14))+D14</f>
        <v>1.5853667691486422</v>
      </c>
      <c r="G14" t="s">
        <v>152</v>
      </c>
    </row>
    <row r="15" spans="1:7" ht="12.75">
      <c r="A15" s="6">
        <v>180</v>
      </c>
      <c r="B15" s="6">
        <v>6.91427593943014E-06</v>
      </c>
      <c r="C15" s="6"/>
      <c r="D15" s="6">
        <v>21.986</v>
      </c>
      <c r="E15" s="8">
        <f t="shared" si="0"/>
        <v>3.447185506390376</v>
      </c>
      <c r="G15" t="s">
        <v>59</v>
      </c>
    </row>
    <row r="16" spans="1:7" ht="12.75">
      <c r="A16" s="6">
        <v>120</v>
      </c>
      <c r="B16" s="6">
        <v>6.91427593943014E-06</v>
      </c>
      <c r="C16" s="6"/>
      <c r="D16" s="6">
        <v>21.986</v>
      </c>
      <c r="E16" s="8">
        <f t="shared" si="0"/>
        <v>3.8874136540295794</v>
      </c>
      <c r="G16" t="s">
        <v>162</v>
      </c>
    </row>
    <row r="17" spans="1:7" ht="12.75">
      <c r="A17" s="6">
        <v>70</v>
      </c>
      <c r="B17" s="6">
        <v>6.91427593943014E-06</v>
      </c>
      <c r="C17" s="6"/>
      <c r="D17" s="6">
        <v>21.986</v>
      </c>
      <c r="E17" s="8">
        <f t="shared" si="0"/>
        <v>4.472621669113</v>
      </c>
      <c r="G17" t="s">
        <v>58</v>
      </c>
    </row>
    <row r="18" spans="1:7" ht="12.75">
      <c r="A18" s="6">
        <v>32</v>
      </c>
      <c r="B18" s="6">
        <v>6.91427593943014E-06</v>
      </c>
      <c r="C18" s="6"/>
      <c r="D18" s="6">
        <v>21.986</v>
      </c>
      <c r="E18" s="8">
        <f t="shared" si="0"/>
        <v>5.3224918233488765</v>
      </c>
      <c r="G18" t="s">
        <v>159</v>
      </c>
    </row>
    <row r="19" spans="1:7" ht="12.75">
      <c r="A19" s="6">
        <v>16</v>
      </c>
      <c r="B19" s="6">
        <v>6.91427593943014E-06</v>
      </c>
      <c r="C19" s="6"/>
      <c r="D19" s="6">
        <v>21.986</v>
      </c>
      <c r="E19" s="8">
        <f t="shared" si="0"/>
        <v>6.07506681250883</v>
      </c>
      <c r="G19" t="s">
        <v>54</v>
      </c>
    </row>
    <row r="20" spans="1:7" ht="12.75">
      <c r="A20" s="6">
        <v>8</v>
      </c>
      <c r="B20" s="6">
        <v>6.91427593943014E-06</v>
      </c>
      <c r="C20" s="6"/>
      <c r="D20" s="6">
        <v>21.986</v>
      </c>
      <c r="E20" s="8">
        <f t="shared" si="0"/>
        <v>6.827641801668783</v>
      </c>
      <c r="G20" t="s">
        <v>160</v>
      </c>
    </row>
    <row r="21" spans="1:7" ht="12.75">
      <c r="A21" s="6">
        <v>0.93</v>
      </c>
      <c r="B21" s="6">
        <v>6.91427593943014E-06</v>
      </c>
      <c r="C21" s="6"/>
      <c r="D21" s="6">
        <v>21.986</v>
      </c>
      <c r="E21" s="8">
        <f t="shared" si="0"/>
        <v>9.164159397763802</v>
      </c>
      <c r="G21" t="s">
        <v>153</v>
      </c>
    </row>
    <row r="22" spans="1:7" ht="12.75">
      <c r="A22" s="6">
        <v>0.46</v>
      </c>
      <c r="B22" s="6">
        <v>6.91427593943014E-06</v>
      </c>
      <c r="C22" s="6"/>
      <c r="D22" s="6">
        <v>21.986</v>
      </c>
      <c r="E22" s="8">
        <f t="shared" si="0"/>
        <v>9.928472189944706</v>
      </c>
      <c r="G22" t="s">
        <v>81</v>
      </c>
    </row>
    <row r="23" spans="1:7" ht="12.75">
      <c r="A23" s="6">
        <v>0.3</v>
      </c>
      <c r="B23" s="6">
        <v>6.91427593943014E-06</v>
      </c>
      <c r="C23" s="6"/>
      <c r="D23" s="6">
        <v>21.986</v>
      </c>
      <c r="E23" s="8">
        <f t="shared" si="0"/>
        <v>10.392563632349486</v>
      </c>
      <c r="G23" t="s">
        <v>83</v>
      </c>
    </row>
    <row r="24" spans="1:7" ht="12.75">
      <c r="A24" s="6">
        <v>0.016</v>
      </c>
      <c r="B24" s="6">
        <v>6.91427593943014E-06</v>
      </c>
      <c r="C24" s="6"/>
      <c r="D24" s="6">
        <v>21.986</v>
      </c>
      <c r="E24" s="8">
        <f t="shared" si="0"/>
        <v>13.57506681250883</v>
      </c>
      <c r="G24" t="s">
        <v>158</v>
      </c>
    </row>
    <row r="25" spans="1:7" ht="12.75">
      <c r="A25" s="6">
        <v>0.002</v>
      </c>
      <c r="B25" s="6">
        <v>6.91427593943014E-06</v>
      </c>
      <c r="C25" s="6"/>
      <c r="D25" s="6">
        <v>21.986</v>
      </c>
      <c r="E25" s="8">
        <f t="shared" si="0"/>
        <v>15.832791779988689</v>
      </c>
      <c r="G25" t="s">
        <v>88</v>
      </c>
    </row>
    <row r="26" spans="1:7" ht="12.75">
      <c r="A26" s="6">
        <v>0.0016</v>
      </c>
      <c r="B26" s="6">
        <v>6.91427593943014E-06</v>
      </c>
      <c r="C26" s="6"/>
      <c r="D26" s="6">
        <v>21.986</v>
      </c>
      <c r="E26" s="8">
        <f t="shared" si="0"/>
        <v>16.07506681250883</v>
      </c>
      <c r="G26" t="s">
        <v>154</v>
      </c>
    </row>
    <row r="27" spans="1:7" ht="12.75">
      <c r="A27" s="6">
        <v>0.00025</v>
      </c>
      <c r="B27" s="6">
        <v>6.91427593943014E-06</v>
      </c>
      <c r="C27" s="6"/>
      <c r="D27" s="6">
        <v>21.986</v>
      </c>
      <c r="E27" s="8">
        <f t="shared" si="0"/>
        <v>18.09051674746855</v>
      </c>
      <c r="G27" t="s">
        <v>155</v>
      </c>
    </row>
    <row r="28" spans="1:7" ht="12.75">
      <c r="A28" s="6">
        <v>6.91427593943014E-06</v>
      </c>
      <c r="B28" s="6">
        <v>6.91427593943014E-06</v>
      </c>
      <c r="C28" s="6"/>
      <c r="D28" s="6">
        <v>21.986</v>
      </c>
      <c r="E28" s="8">
        <f t="shared" si="0"/>
        <v>21.986</v>
      </c>
      <c r="G28" t="s">
        <v>94</v>
      </c>
    </row>
    <row r="29" spans="2:5" ht="12.75">
      <c r="B29" s="6"/>
      <c r="E29" s="6"/>
    </row>
    <row r="30" spans="1:5" ht="12.75">
      <c r="A30" s="4" t="s">
        <v>135</v>
      </c>
      <c r="C30" s="4" t="s">
        <v>136</v>
      </c>
      <c r="D30" s="4"/>
      <c r="E30" s="4" t="s">
        <v>137</v>
      </c>
    </row>
    <row r="31" spans="1:5" ht="12.75">
      <c r="A31" s="4" t="s">
        <v>148</v>
      </c>
      <c r="B31" s="4" t="s">
        <v>149</v>
      </c>
      <c r="C31" s="24" t="s">
        <v>150</v>
      </c>
      <c r="D31" s="4" t="s">
        <v>151</v>
      </c>
      <c r="E31" s="4" t="s">
        <v>156</v>
      </c>
    </row>
    <row r="32" spans="1:7" ht="12.75">
      <c r="A32" s="6">
        <v>1</v>
      </c>
      <c r="B32" s="6">
        <v>134500</v>
      </c>
      <c r="C32" s="6"/>
      <c r="D32" s="6">
        <v>-12.8</v>
      </c>
      <c r="E32" s="8">
        <f>-2.5*(LOG(A32/B32))+D32</f>
        <v>0.021805710846065196</v>
      </c>
      <c r="G32" t="s">
        <v>171</v>
      </c>
    </row>
    <row r="33" spans="1:5" ht="12.75">
      <c r="A33" s="6">
        <v>10</v>
      </c>
      <c r="B33" s="6">
        <v>1.1</v>
      </c>
      <c r="C33" s="6"/>
      <c r="D33" s="6">
        <v>0</v>
      </c>
      <c r="E33" s="8">
        <f>-2.5*(LOG(A33/B33))+D33</f>
        <v>-2.396518287104437</v>
      </c>
    </row>
    <row r="34" spans="1:5" ht="12.75">
      <c r="A34" s="6">
        <v>1000</v>
      </c>
      <c r="B34" s="6">
        <v>1</v>
      </c>
      <c r="C34" s="6"/>
      <c r="D34" s="6">
        <v>0</v>
      </c>
      <c r="E34" s="8">
        <f>-2.5*(LOG(A34/B34))+D34</f>
        <v>-7.5</v>
      </c>
    </row>
    <row r="35" spans="1:5" ht="12.75">
      <c r="A35" s="6">
        <v>10000</v>
      </c>
      <c r="B35" s="6">
        <v>1</v>
      </c>
      <c r="C35" s="6"/>
      <c r="D35" s="6">
        <v>0</v>
      </c>
      <c r="E35" s="8">
        <f>-2.5*(LOG(A35/B35))+D35</f>
        <v>-10</v>
      </c>
    </row>
    <row r="37" ht="12.75">
      <c r="A37" s="4" t="s">
        <v>138</v>
      </c>
    </row>
    <row r="38" spans="1:7" ht="12.75">
      <c r="A38" t="s">
        <v>139</v>
      </c>
      <c r="C38" t="s">
        <v>140</v>
      </c>
      <c r="E38">
        <v>112700.09641785511</v>
      </c>
      <c r="G38" s="6"/>
    </row>
    <row r="39" spans="1:7" ht="12.75">
      <c r="A39" t="s">
        <v>141</v>
      </c>
      <c r="C39" t="s">
        <v>142</v>
      </c>
      <c r="E39">
        <v>92575.07920038098</v>
      </c>
      <c r="G39" s="6"/>
    </row>
    <row r="41" ht="12.75">
      <c r="A41" s="4" t="s">
        <v>143</v>
      </c>
    </row>
    <row r="42" ht="12.75">
      <c r="A42" t="s">
        <v>144</v>
      </c>
    </row>
    <row r="43" ht="12.75">
      <c r="A43" s="25" t="s">
        <v>145</v>
      </c>
    </row>
    <row r="45" ht="12.75">
      <c r="A45" s="4" t="s">
        <v>146</v>
      </c>
    </row>
    <row r="46" ht="12.75">
      <c r="A46" s="25" t="s">
        <v>147</v>
      </c>
    </row>
  </sheetData>
  <hyperlinks>
    <hyperlink ref="A43" r:id="rId1" display="http://www.mapageweb.umontreal.ca/raynauld/lconverter.html"/>
    <hyperlink ref="A46" r:id="rId2" display="http://www.easysurf.cc/cnvert.htm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B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4" t="s">
        <v>288</v>
      </c>
    </row>
    <row r="3" spans="1:2" ht="12.75">
      <c r="A3" s="4" t="s">
        <v>281</v>
      </c>
      <c r="B3" s="4" t="s">
        <v>156</v>
      </c>
    </row>
    <row r="4" spans="1:2" ht="12.75">
      <c r="A4" s="8">
        <v>21.7</v>
      </c>
      <c r="B4" s="8">
        <f>PhotogBa2NELMStellarKWGS(A4,"in")</f>
        <v>6.483464158215501</v>
      </c>
    </row>
    <row r="6" ht="12.75">
      <c r="A6" s="17" t="s">
        <v>348</v>
      </c>
    </row>
    <row r="7" ht="12.75">
      <c r="A7" s="17" t="s">
        <v>349</v>
      </c>
    </row>
    <row r="8" ht="12.75">
      <c r="A8" s="17" t="s">
        <v>350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Attorney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A.G.</dc:creator>
  <cp:keywords/>
  <dc:description/>
  <cp:lastModifiedBy>Kurt Allen Fisher</cp:lastModifiedBy>
  <dcterms:created xsi:type="dcterms:W3CDTF">2004-04-09T06:07:02Z</dcterms:created>
  <dcterms:modified xsi:type="dcterms:W3CDTF">2008-02-15T04:49:45Z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